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EstaPasta_de_trabalho" defaultThemeVersion="124226"/>
  <mc:AlternateContent xmlns:mc="http://schemas.openxmlformats.org/markup-compatibility/2006">
    <mc:Choice Requires="x15">
      <x15ac:absPath xmlns:x15ac="http://schemas.microsoft.com/office/spreadsheetml/2010/11/ac" url="C:\Users\mayco\Desktop\UNIDADE HABITACIONAL\20 UNIDADE HABITACIONAL - ANAURILÂNDIA\PROJETO MAYCON NAGAI\PLANILHA ORÇAMENTO E CRONOGRAMA\"/>
    </mc:Choice>
  </mc:AlternateContent>
  <xr:revisionPtr revIDLastSave="0" documentId="13_ncr:1_{49911662-6214-45CC-AAC2-BF78B4AD4CFE}" xr6:coauthVersionLast="45" xr6:coauthVersionMax="45" xr10:uidLastSave="{00000000-0000-0000-0000-000000000000}"/>
  <bookViews>
    <workbookView xWindow="-120" yWindow="-120" windowWidth="24240" windowHeight="13140" xr2:uid="{00000000-000D-0000-FFFF-FFFF00000000}"/>
  </bookViews>
  <sheets>
    <sheet name="Planilha" sheetId="1" r:id="rId1"/>
    <sheet name="BDI" sheetId="6" r:id="rId2"/>
  </sheets>
  <definedNames>
    <definedName name="_xlnm.Print_Area" localSheetId="0">Planilha!$B$14:$J$154</definedName>
    <definedName name="_xlnm.Print_Titles" localSheetId="0">Planilha!$15:$22</definedName>
  </definedNames>
  <calcPr calcId="191029"/>
</workbook>
</file>

<file path=xl/calcChain.xml><?xml version="1.0" encoding="utf-8"?>
<calcChain xmlns="http://schemas.openxmlformats.org/spreadsheetml/2006/main">
  <c r="L16" i="1" l="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F36" i="1" l="1"/>
  <c r="F59" i="1" l="1"/>
  <c r="F57" i="1"/>
  <c r="F48" i="1"/>
  <c r="F33" i="1"/>
  <c r="F34" i="1" s="1"/>
  <c r="F52" i="1"/>
  <c r="F50" i="1"/>
  <c r="I49" i="1"/>
  <c r="J49" i="1" s="1"/>
  <c r="I50" i="1"/>
  <c r="J50" i="1" s="1"/>
  <c r="I51" i="1"/>
  <c r="J51" i="1" s="1"/>
  <c r="I52" i="1"/>
  <c r="J52" i="1" l="1"/>
  <c r="F55" i="1"/>
  <c r="I92" i="1" l="1"/>
  <c r="J92" i="1" s="1"/>
  <c r="I88" i="1" l="1"/>
  <c r="J88" i="1" s="1"/>
  <c r="I89" i="1"/>
  <c r="F89" i="1"/>
  <c r="I44" i="1"/>
  <c r="J44" i="1" s="1"/>
  <c r="I45" i="1"/>
  <c r="J45" i="1" s="1"/>
  <c r="J89" i="1" l="1"/>
  <c r="F27" i="1"/>
  <c r="F58" i="1"/>
  <c r="F56" i="1"/>
  <c r="F61" i="1" l="1"/>
  <c r="I61" i="1"/>
  <c r="J61" i="1" l="1"/>
  <c r="I60" i="1"/>
  <c r="J60" i="1" s="1"/>
  <c r="I59" i="1" l="1"/>
  <c r="J59" i="1" s="1"/>
  <c r="F117" i="1" l="1"/>
  <c r="F73" i="1" l="1"/>
  <c r="I71" i="1"/>
  <c r="J71" i="1" s="1"/>
  <c r="I70" i="1"/>
  <c r="J70" i="1" s="1"/>
  <c r="I78" i="1"/>
  <c r="J78" i="1" s="1"/>
  <c r="I73" i="1"/>
  <c r="J73" i="1" l="1"/>
  <c r="F106" i="1"/>
  <c r="F96" i="1"/>
  <c r="F95" i="1"/>
  <c r="I69" i="1"/>
  <c r="J69" i="1" s="1"/>
  <c r="F79" i="1"/>
  <c r="F80" i="1"/>
  <c r="F82" i="1"/>
  <c r="F84" i="1"/>
  <c r="F77" i="1"/>
  <c r="F37" i="1"/>
  <c r="I97" i="1" l="1"/>
  <c r="F97" i="1"/>
  <c r="J97" i="1" l="1"/>
  <c r="F42" i="1"/>
  <c r="F41" i="1"/>
  <c r="F100" i="1"/>
  <c r="F98" i="1"/>
  <c r="F99" i="1"/>
  <c r="I56" i="1"/>
  <c r="J56" i="1" s="1"/>
  <c r="I57" i="1"/>
  <c r="J57" i="1" s="1"/>
  <c r="I58" i="1"/>
  <c r="J58" i="1" s="1"/>
  <c r="I64" i="1"/>
  <c r="I55" i="1"/>
  <c r="J55" i="1" s="1"/>
  <c r="F120" i="1"/>
  <c r="F116" i="1"/>
  <c r="F115" i="1"/>
  <c r="F114" i="1"/>
  <c r="F113" i="1"/>
  <c r="F110" i="1"/>
  <c r="F109" i="1"/>
  <c r="F108" i="1"/>
  <c r="F107" i="1"/>
  <c r="F105" i="1"/>
  <c r="F104" i="1"/>
  <c r="F103" i="1"/>
  <c r="F102" i="1"/>
  <c r="F101" i="1"/>
  <c r="F94" i="1"/>
  <c r="F93" i="1"/>
  <c r="F87" i="1"/>
  <c r="F86" i="1"/>
  <c r="F85" i="1"/>
  <c r="F83" i="1"/>
  <c r="F81" i="1"/>
  <c r="F76" i="1"/>
  <c r="F75" i="1"/>
  <c r="F74" i="1"/>
  <c r="F72" i="1"/>
  <c r="F67" i="1"/>
  <c r="F66" i="1"/>
  <c r="F65" i="1"/>
  <c r="F64" i="1"/>
  <c r="F35" i="1"/>
  <c r="F28" i="1"/>
  <c r="J64" i="1" l="1"/>
  <c r="F30" i="1"/>
  <c r="J62" i="1"/>
  <c r="F43" i="1"/>
  <c r="I87" i="1"/>
  <c r="J87" i="1" s="1"/>
  <c r="I86" i="1"/>
  <c r="J86" i="1" s="1"/>
  <c r="I85" i="1"/>
  <c r="J85" i="1" s="1"/>
  <c r="I84" i="1"/>
  <c r="J84" i="1" s="1"/>
  <c r="I80" i="1"/>
  <c r="J80" i="1" s="1"/>
  <c r="I79" i="1"/>
  <c r="J79" i="1" s="1"/>
  <c r="I77" i="1"/>
  <c r="J77" i="1" s="1"/>
  <c r="F29" i="1"/>
  <c r="I30" i="1"/>
  <c r="I29" i="1"/>
  <c r="I28" i="1"/>
  <c r="J28" i="1" s="1"/>
  <c r="I115" i="1"/>
  <c r="J115" i="1" s="1"/>
  <c r="I116" i="1"/>
  <c r="J116" i="1" s="1"/>
  <c r="J29" i="1" l="1"/>
  <c r="J30" i="1"/>
  <c r="I72" i="1"/>
  <c r="J72" i="1" s="1"/>
  <c r="I81" i="1"/>
  <c r="J81" i="1" s="1"/>
  <c r="I82" i="1"/>
  <c r="J82" i="1" s="1"/>
  <c r="I75" i="1"/>
  <c r="J75" i="1" s="1"/>
  <c r="I83" i="1"/>
  <c r="J83" i="1" s="1"/>
  <c r="I68" i="1"/>
  <c r="J68" i="1" s="1"/>
  <c r="I76" i="1"/>
  <c r="J76" i="1" s="1"/>
  <c r="I74" i="1"/>
  <c r="J74" i="1" s="1"/>
  <c r="I121" i="1" l="1"/>
  <c r="J121" i="1" s="1"/>
  <c r="I120" i="1"/>
  <c r="J120" i="1" s="1"/>
  <c r="I117" i="1"/>
  <c r="J117" i="1" s="1"/>
  <c r="I114" i="1"/>
  <c r="J114" i="1" s="1"/>
  <c r="I113" i="1"/>
  <c r="I66" i="1"/>
  <c r="J66" i="1" s="1"/>
  <c r="J113" i="1" l="1"/>
  <c r="J122" i="1"/>
  <c r="I96" i="1"/>
  <c r="J96" i="1" s="1"/>
  <c r="I95" i="1"/>
  <c r="J95" i="1" s="1"/>
  <c r="I65" i="1"/>
  <c r="J65" i="1" s="1"/>
  <c r="I67" i="1"/>
  <c r="J67" i="1" s="1"/>
  <c r="I94" i="1"/>
  <c r="J94" i="1" s="1"/>
  <c r="I93" i="1"/>
  <c r="J93" i="1" s="1"/>
  <c r="J118" i="1" l="1"/>
  <c r="J90" i="1"/>
  <c r="I37" i="1"/>
  <c r="J37" i="1" s="1"/>
  <c r="I36" i="1" l="1"/>
  <c r="J36" i="1" s="1"/>
  <c r="I48" i="1"/>
  <c r="I41" i="1"/>
  <c r="J41" i="1" s="1"/>
  <c r="I43" i="1"/>
  <c r="J43" i="1" s="1"/>
  <c r="I42" i="1"/>
  <c r="J42" i="1" s="1"/>
  <c r="J48" i="1" l="1"/>
  <c r="I110" i="1"/>
  <c r="J110" i="1" s="1"/>
  <c r="I106" i="1"/>
  <c r="J106" i="1" s="1"/>
  <c r="I105" i="1"/>
  <c r="J105" i="1" s="1"/>
  <c r="I103" i="1"/>
  <c r="J103" i="1" s="1"/>
  <c r="I101" i="1"/>
  <c r="J101" i="1" s="1"/>
  <c r="I40" i="1"/>
  <c r="I100" i="1"/>
  <c r="J100" i="1" s="1"/>
  <c r="I35" i="1"/>
  <c r="J35" i="1" s="1"/>
  <c r="I34" i="1"/>
  <c r="J34" i="1" s="1"/>
  <c r="I33" i="1"/>
  <c r="J33" i="1" s="1"/>
  <c r="I27" i="1"/>
  <c r="J53" i="1" l="1"/>
  <c r="J40" i="1"/>
  <c r="J27" i="1"/>
  <c r="J38" i="1"/>
  <c r="I109" i="1"/>
  <c r="J109" i="1" s="1"/>
  <c r="I98" i="1"/>
  <c r="J98" i="1" s="1"/>
  <c r="I102" i="1"/>
  <c r="J102" i="1" s="1"/>
  <c r="I99" i="1"/>
  <c r="J99" i="1" s="1"/>
  <c r="I108" i="1"/>
  <c r="J108" i="1" s="1"/>
  <c r="I104" i="1"/>
  <c r="J104" i="1" s="1"/>
  <c r="I107" i="1"/>
  <c r="J107" i="1" s="1"/>
  <c r="J31" i="1" l="1"/>
  <c r="J46" i="1"/>
  <c r="J111" i="1"/>
  <c r="BU321" i="6"/>
  <c r="BU320" i="6"/>
  <c r="BU319" i="6"/>
  <c r="BT318" i="6"/>
  <c r="BU318" i="6" s="1"/>
  <c r="CE317" i="6"/>
  <c r="CD317" i="6"/>
  <c r="CD318" i="6" s="1"/>
  <c r="CD319" i="6" s="1"/>
  <c r="CD320" i="6" s="1"/>
  <c r="CD321" i="6" s="1"/>
  <c r="CD322" i="6" s="1"/>
  <c r="BU317" i="6"/>
  <c r="BT316" i="6"/>
  <c r="BU316" i="6" s="1"/>
  <c r="CE310" i="6"/>
  <c r="CD310" i="6"/>
  <c r="CD311" i="6" s="1"/>
  <c r="CD312" i="6" s="1"/>
  <c r="CD313" i="6" s="1"/>
  <c r="CD314" i="6" s="1"/>
  <c r="CD315" i="6" s="1"/>
  <c r="BU305" i="6"/>
  <c r="BW305" i="6" s="1"/>
  <c r="D60" i="6" s="1"/>
  <c r="CE304" i="6"/>
  <c r="CD304" i="6"/>
  <c r="CD305" i="6" s="1"/>
  <c r="CD306" i="6" s="1"/>
  <c r="CD307" i="6" s="1"/>
  <c r="CD308" i="6" s="1"/>
  <c r="CD309" i="6" s="1"/>
  <c r="CE297" i="6"/>
  <c r="CD297" i="6"/>
  <c r="CD298" i="6" s="1"/>
  <c r="CD299" i="6" s="1"/>
  <c r="CD300" i="6" s="1"/>
  <c r="CD301" i="6" s="1"/>
  <c r="CD302" i="6" s="1"/>
  <c r="CE289" i="6"/>
  <c r="CD289" i="6"/>
  <c r="CD290" i="6" s="1"/>
  <c r="CD291" i="6" s="1"/>
  <c r="CD292" i="6" s="1"/>
  <c r="CD293" i="6" s="1"/>
  <c r="CD294" i="6" s="1"/>
  <c r="CE281" i="6"/>
  <c r="CD281" i="6"/>
  <c r="CD282" i="6" s="1"/>
  <c r="CD283" i="6" s="1"/>
  <c r="CD284" i="6" s="1"/>
  <c r="CD285" i="6" s="1"/>
  <c r="CD286" i="6" s="1"/>
  <c r="BV272" i="6"/>
  <c r="BV271" i="6"/>
  <c r="BV270" i="6"/>
  <c r="BV269" i="6"/>
  <c r="BV268" i="6"/>
  <c r="BV267" i="6"/>
  <c r="C66" i="6"/>
  <c r="K64" i="6"/>
  <c r="K55" i="6"/>
  <c r="I46" i="6"/>
  <c r="I45" i="6"/>
  <c r="I44" i="6"/>
  <c r="I43" i="6"/>
  <c r="I42" i="6"/>
  <c r="C31" i="6"/>
  <c r="K24" i="6"/>
  <c r="D24" i="6"/>
  <c r="C24" i="6"/>
  <c r="C20" i="6"/>
  <c r="D19" i="6"/>
  <c r="C19" i="6"/>
  <c r="K8" i="6"/>
  <c r="CI277" i="6" l="1"/>
  <c r="B12" i="6"/>
  <c r="BX305" i="6"/>
  <c r="E60" i="6" s="1"/>
  <c r="BU306" i="6"/>
  <c r="CI276" i="6"/>
  <c r="F33" i="6" s="1"/>
  <c r="BV305" i="6"/>
  <c r="C60" i="6" s="1"/>
  <c r="F66" i="6" l="1"/>
  <c r="I66" i="6" s="1"/>
  <c r="E64" i="6" s="1"/>
  <c r="F48" i="6"/>
  <c r="I48" i="6" s="1"/>
  <c r="E55" i="6" s="1"/>
  <c r="B57" i="6" s="1"/>
  <c r="BU307" i="6"/>
  <c r="BX306" i="6"/>
  <c r="E42" i="6" s="1"/>
  <c r="K42" i="6" s="1"/>
  <c r="BW306" i="6"/>
  <c r="D42" i="6" s="1"/>
  <c r="BV306" i="6"/>
  <c r="C42" i="6" s="1"/>
  <c r="BV307" i="6" l="1"/>
  <c r="C43" i="6" s="1"/>
  <c r="BU308" i="6"/>
  <c r="BX307" i="6"/>
  <c r="E43" i="6" s="1"/>
  <c r="K43" i="6" s="1"/>
  <c r="BW307" i="6"/>
  <c r="D43" i="6" s="1"/>
  <c r="BX308" i="6" l="1"/>
  <c r="E44" i="6" s="1"/>
  <c r="BW308" i="6"/>
  <c r="D44" i="6" s="1"/>
  <c r="BV308" i="6"/>
  <c r="C44" i="6" s="1"/>
  <c r="BU309" i="6"/>
  <c r="BU310" i="6" l="1"/>
  <c r="BX309" i="6"/>
  <c r="E45" i="6" s="1"/>
  <c r="BW309" i="6"/>
  <c r="D45" i="6" s="1"/>
  <c r="BV309" i="6"/>
  <c r="C45" i="6" s="1"/>
  <c r="K44" i="6"/>
  <c r="K45" i="6" l="1"/>
  <c r="BV310" i="6"/>
  <c r="C46" i="6" s="1"/>
  <c r="BW310" i="6"/>
  <c r="D46" i="6" s="1"/>
  <c r="BX310" i="6"/>
  <c r="E46" i="6" s="1"/>
  <c r="K46" i="6" l="1"/>
  <c r="I24" i="1" l="1"/>
  <c r="J24" i="1" s="1"/>
  <c r="J25" i="1" l="1"/>
  <c r="J123" i="1" s="1"/>
  <c r="K16" i="1" l="1"/>
  <c r="K20" i="1"/>
  <c r="K27" i="1"/>
  <c r="K33" i="1"/>
  <c r="K39" i="1"/>
  <c r="K53" i="1"/>
  <c r="K56" i="1"/>
  <c r="K70" i="1"/>
  <c r="K78" i="1"/>
  <c r="K86" i="1"/>
  <c r="K97" i="1"/>
  <c r="K105" i="1"/>
  <c r="K123" i="1"/>
  <c r="K36" i="1"/>
  <c r="K42" i="1"/>
  <c r="K48" i="1"/>
  <c r="K73" i="1"/>
  <c r="K81" i="1"/>
  <c r="K120" i="1"/>
  <c r="K24" i="1"/>
  <c r="K30" i="1"/>
  <c r="K17" i="1"/>
  <c r="K21" i="1"/>
  <c r="K45" i="1"/>
  <c r="K51" i="1"/>
  <c r="K54" i="1"/>
  <c r="K68" i="1"/>
  <c r="K76" i="1"/>
  <c r="K84" i="1"/>
  <c r="K95" i="1"/>
  <c r="K103" i="1"/>
  <c r="K117" i="1"/>
  <c r="K124" i="1"/>
  <c r="K112" i="1"/>
  <c r="K66" i="1"/>
  <c r="K74" i="1"/>
  <c r="K109" i="1"/>
  <c r="K118" i="1"/>
  <c r="K69" i="1"/>
  <c r="K104" i="1"/>
  <c r="K111" i="1"/>
  <c r="K25" i="1"/>
  <c r="K28" i="1"/>
  <c r="K31" i="1"/>
  <c r="K34" i="1"/>
  <c r="K40" i="1"/>
  <c r="K57" i="1"/>
  <c r="K63" i="1"/>
  <c r="K71" i="1"/>
  <c r="K79" i="1"/>
  <c r="K87" i="1"/>
  <c r="K90" i="1"/>
  <c r="K98" i="1"/>
  <c r="K106" i="1"/>
  <c r="K60" i="1"/>
  <c r="K82" i="1"/>
  <c r="K115" i="1"/>
  <c r="K94" i="1"/>
  <c r="K102" i="1"/>
  <c r="K65" i="1"/>
  <c r="K18" i="1"/>
  <c r="K22" i="1"/>
  <c r="K37" i="1"/>
  <c r="K43" i="1"/>
  <c r="K46" i="1"/>
  <c r="K49" i="1"/>
  <c r="K93" i="1"/>
  <c r="K101" i="1"/>
  <c r="K121" i="1"/>
  <c r="K96" i="1"/>
  <c r="K110" i="1"/>
  <c r="K59" i="1"/>
  <c r="K92" i="1"/>
  <c r="K114" i="1"/>
  <c r="K26" i="1"/>
  <c r="K32" i="1"/>
  <c r="K52" i="1"/>
  <c r="K55" i="1"/>
  <c r="K77" i="1"/>
  <c r="K85" i="1"/>
  <c r="K62" i="1"/>
  <c r="K100" i="1"/>
  <c r="K19" i="1"/>
  <c r="K23" i="1"/>
  <c r="K29" i="1"/>
  <c r="K35" i="1"/>
  <c r="K38" i="1"/>
  <c r="K41" i="1"/>
  <c r="K47" i="1"/>
  <c r="K58" i="1"/>
  <c r="K64" i="1"/>
  <c r="K72" i="1"/>
  <c r="K80" i="1"/>
  <c r="K88" i="1"/>
  <c r="K91" i="1"/>
  <c r="K99" i="1"/>
  <c r="K107" i="1"/>
  <c r="K113" i="1"/>
  <c r="K119" i="1"/>
  <c r="K122" i="1"/>
  <c r="K44" i="1"/>
  <c r="K50" i="1"/>
  <c r="K61" i="1"/>
  <c r="K67" i="1"/>
  <c r="K75" i="1"/>
  <c r="K83" i="1"/>
  <c r="K116" i="1"/>
  <c r="K89" i="1"/>
  <c r="K108" i="1"/>
</calcChain>
</file>

<file path=xl/sharedStrings.xml><?xml version="1.0" encoding="utf-8"?>
<sst xmlns="http://schemas.openxmlformats.org/spreadsheetml/2006/main" count="502" uniqueCount="373">
  <si>
    <t>Unidade Construtiva</t>
  </si>
  <si>
    <t>Tipo de obra</t>
  </si>
  <si>
    <t>Endereço da obra</t>
  </si>
  <si>
    <t>BDI</t>
  </si>
  <si>
    <t xml:space="preserve">Preços expressos em </t>
  </si>
  <si>
    <t>Encargos Sociais</t>
  </si>
  <si>
    <t xml:space="preserve">Código </t>
  </si>
  <si>
    <t xml:space="preserve">Descrição </t>
  </si>
  <si>
    <t>Un.</t>
  </si>
  <si>
    <t>Preço total</t>
  </si>
  <si>
    <t>R$ (Real)</t>
  </si>
  <si>
    <t xml:space="preserve">Planilha de Orçamento </t>
  </si>
  <si>
    <t xml:space="preserve">Valor total da obra </t>
  </si>
  <si>
    <t>1.0</t>
  </si>
  <si>
    <t>3.0</t>
  </si>
  <si>
    <t>5.0</t>
  </si>
  <si>
    <t>6.0</t>
  </si>
  <si>
    <t>7.0</t>
  </si>
  <si>
    <t>8.0</t>
  </si>
  <si>
    <t>Obra</t>
  </si>
  <si>
    <t>Sub total</t>
  </si>
  <si>
    <t>Item</t>
  </si>
  <si>
    <t>CNPJ</t>
  </si>
  <si>
    <t>Preço unitário com BDI</t>
  </si>
  <si>
    <t>Quant.</t>
  </si>
  <si>
    <t>2.0</t>
  </si>
  <si>
    <t>VERIFICAÇÃO DO BDI - ACÓRDÃO 2.622/2013       Rev 01</t>
  </si>
  <si>
    <t>DADOS INICIAIS</t>
  </si>
  <si>
    <t>TIPO DE OBRA:</t>
  </si>
  <si>
    <t>Construção de edificios</t>
  </si>
  <si>
    <t>ENQUADRAMENTO NA DESONERAÇÃO CONFORME LEI N° 12.844/2013:*</t>
  </si>
  <si>
    <t>SIM</t>
  </si>
  <si>
    <t>*Uso de encargos sociais desonerados na elaboração do orçamento</t>
  </si>
  <si>
    <t>ENQUADRAM-SE NO TIPO SELECIONADO:</t>
  </si>
  <si>
    <t>CÁLCULO DOS IMPOSTOS</t>
  </si>
  <si>
    <t>TIPO DE TRIBUTAÇÃO SOBRE O LUCRO:</t>
  </si>
  <si>
    <t>LUCRO PRESUMIDO</t>
  </si>
  <si>
    <t>Imposto</t>
  </si>
  <si>
    <t>Aliquota</t>
  </si>
  <si>
    <t>Base de cálculo</t>
  </si>
  <si>
    <t>PIS</t>
  </si>
  <si>
    <t>COFINS</t>
  </si>
  <si>
    <t>% DO TOTAL DA NOTA QUE COMPÕE BASE DE CÁLCULO PARA TRIBUTAÇÃO SOBRE O LUCRO:</t>
  </si>
  <si>
    <t>Minimo</t>
  </si>
  <si>
    <t>Máximo</t>
  </si>
  <si>
    <t>Adotado</t>
  </si>
  <si>
    <t>Limites orientativos:</t>
  </si>
  <si>
    <t>Para adotar um % de base de cálculo deve-se levar em conta o % do custo de cada obra individualmente que é passível de recuperação de crédito de PIS/COFINS (Aquisição de insumos/materiais).</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</si>
  <si>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</si>
  <si>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</si>
  <si>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</si>
  <si>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</si>
  <si>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</si>
  <si>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</si>
  <si>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</si>
  <si>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</si>
  <si>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</si>
  <si>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</si>
  <si>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</si>
  <si>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</si>
  <si>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</si>
  <si>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</si>
  <si>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</si>
  <si>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</si>
  <si>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</si>
  <si>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</si>
  <si>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</si>
  <si>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</si>
  <si>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</si>
  <si>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BDI CALCULADO C/ DESONERAÇÃO (USO DE E.S. DESONERADOS):</t>
  </si>
  <si>
    <t>INSS SOBRE A RECEITA BRUTA:</t>
  </si>
  <si>
    <t>BANCO DE DADOS</t>
  </si>
  <si>
    <t>TIPO DE OBRA</t>
  </si>
  <si>
    <t>CÓDIGO</t>
  </si>
  <si>
    <t>ENQUARAMENTO</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</si>
  <si>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</si>
  <si>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Construção de rodovias e ferrovias</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</si>
  <si>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</si>
  <si>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</si>
  <si>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</si>
  <si>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</si>
  <si>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</si>
  <si>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</si>
  <si>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</si>
  <si>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</si>
  <si>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t>
  </si>
  <si>
    <t>CONFINS</t>
  </si>
  <si>
    <t>BASE DE CÁLCULO</t>
  </si>
  <si>
    <t>RECEITA BRUTA (VALOR DA NOTA)</t>
  </si>
  <si>
    <t>LUCRO REAL</t>
  </si>
  <si>
    <t>VALOR DA NOTA - RECUPERAÇÃO DE CRÉDITO (AQUISIÇÃO DE INSUMOS)</t>
  </si>
  <si>
    <t>Código da pesquisa</t>
  </si>
  <si>
    <t>1º Quartil</t>
  </si>
  <si>
    <t>Médio</t>
  </si>
  <si>
    <t>3º Quartil</t>
  </si>
  <si>
    <t>1 Quartil</t>
  </si>
  <si>
    <t>3 Quartil</t>
  </si>
  <si>
    <t>x</t>
  </si>
  <si>
    <t>INSTALACAO ELETRICA/ELETRIFICACAO E ILUMINACAO EXTERNA</t>
  </si>
  <si>
    <t>8.1</t>
  </si>
  <si>
    <t>8.2</t>
  </si>
  <si>
    <t>INEL</t>
  </si>
  <si>
    <t>CABO DE COBRE FLEXÍVEL ISOLADO, 1,5 MM², ANTI-CHAMA 450/750 V, PARA CIRCUITOS TERMINAIS - FORNECIMENTO E INSTALAÇÃO. AF_12/2015</t>
  </si>
  <si>
    <t>SINAPI 91924</t>
  </si>
  <si>
    <t>M</t>
  </si>
  <si>
    <t>CABO DE COBRE FLEXÍVEL ISOLADO, 2,5 MM², ANTI-CHAMA 450/750 V, PARA CIRCUITOS TERMINAIS - FORNECIMENTO E INSTALAÇÃO. AF_12/2015</t>
  </si>
  <si>
    <t>SINAPI 91926</t>
  </si>
  <si>
    <t>CABO DE COBRE FLEXÍVEL ISOLADO, 6,0 MM², ANTI-CHAMA 450/750 V, PARA CIRCUITOS TERMINAIS - FORNECIMENTO E INSTALAÇÃO. AF_12/2015</t>
  </si>
  <si>
    <t>SINAPI 91930</t>
  </si>
  <si>
    <t>UN</t>
  </si>
  <si>
    <t>DISJUNTOR MONOPOLAR TIPO DIN, CORRENTE NOMINAL DE 40A - FORNECIMENTO E INSTALAÇÃO. AF_04/2016</t>
  </si>
  <si>
    <t>SINAPI 93658</t>
  </si>
  <si>
    <t>INTERRUPTOR SIMPLES (1 MÓDULO), 10A/250V, INCLUINDO SUPORTE E PLACA - FORNECIMENTO E INSTALAÇÃO. AF_12/2015</t>
  </si>
  <si>
    <t>SINAPI 91953</t>
  </si>
  <si>
    <t>SINAPI 91996</t>
  </si>
  <si>
    <t>8.3</t>
  </si>
  <si>
    <t>8.4</t>
  </si>
  <si>
    <t>8.5</t>
  </si>
  <si>
    <t>8.6</t>
  </si>
  <si>
    <t>8.7</t>
  </si>
  <si>
    <t>8.8</t>
  </si>
  <si>
    <t>8.9</t>
  </si>
  <si>
    <t>8.10</t>
  </si>
  <si>
    <t>8.11</t>
  </si>
  <si>
    <t>8.12</t>
  </si>
  <si>
    <t>8.13</t>
  </si>
  <si>
    <t>8.14</t>
  </si>
  <si>
    <t>8.15</t>
  </si>
  <si>
    <t>TOMADA MÉDIA DE EMBUTIR (1 MÓDULO), 2P+T 10 A, INCLUINDO SUPORTE E PLACA - FORNECIMENTO E INSTALAÇÃO. AF_12/2015</t>
  </si>
  <si>
    <t>INTERRUPTOR SIMPLES (1 MÓDULO) COM 1 TOMADA DE EMBUTIR 2P+T 10 A, INCLUINDO SUPORTE E PLACA - FORNECIMENTO E INSTALAÇÃO. AF_12/2015</t>
  </si>
  <si>
    <t>SINAPI 92023</t>
  </si>
  <si>
    <t>ROLDANA PLASTICA COM PREGO, TAMANHO 30 X 30 MM, PARA INSTALACAO ELETRICA APARENTE</t>
  </si>
  <si>
    <t>SINAPI 00020256</t>
  </si>
  <si>
    <t>ISOLADOR DE PORCELANA, TIPO PINO MONOCORPO, PARA TENSAO DE *15* KV</t>
  </si>
  <si>
    <t>SINAPI 00003406</t>
  </si>
  <si>
    <t>SOQUETE DE BAQUELITE BASE E27, PARA LAMPADAS</t>
  </si>
  <si>
    <t>SINAPI 00012295</t>
  </si>
  <si>
    <t>FITA ISOLANTE ADESIVA ANTICHAMA, USO ATE 750 V, EM ROLO DE 19 MM X 20 M</t>
  </si>
  <si>
    <t>SINAPI 00020111</t>
  </si>
  <si>
    <t>ARAME RECOZIDO 18 BWG, 1,25 MM (0,01 KG/M)</t>
  </si>
  <si>
    <t>SINAPI 00000337</t>
  </si>
  <si>
    <t>KG</t>
  </si>
  <si>
    <t>SINAPI 00039799</t>
  </si>
  <si>
    <t>PARAFUSO DE ACO ZINCADO COM ROSCA SOBERBA, CABECA CHATA E FENDA SIMPLES, DIAMETRO 4,8 MM, COMPRIMENTO 45 MM</t>
  </si>
  <si>
    <t>SINAPI 00004356</t>
  </si>
  <si>
    <t>QUADRO DE DISTRIBUICAO, SEM BARRAMENTO, EM PVC, DE SOBREPOR, PARA 4 DISJUNTORES DIN</t>
  </si>
  <si>
    <t>SINAPI 74209/001</t>
  </si>
  <si>
    <t>M2</t>
  </si>
  <si>
    <t>CANT</t>
  </si>
  <si>
    <t>CANTEIRO DE OBRAS</t>
  </si>
  <si>
    <t>SINAPI 94807</t>
  </si>
  <si>
    <t>JANELA DE AÇO DE CORRER, 4 FOLHAS, FIXAÇÃO COM ARGAMASSA, SEM VIDROS, PADRONIZADA. AF_07/2016</t>
  </si>
  <si>
    <t>SINAPI 94562</t>
  </si>
  <si>
    <t>ESQV</t>
  </si>
  <si>
    <t>ESQUADRIAS/FERRAGENS/VIDROS</t>
  </si>
  <si>
    <t>JANELA DE AÇO BASCULANTE, FIXAÇÃO COM ARGAMASSA, SEM VIDROS, PADRONIZADA. AF_07/2016</t>
  </si>
  <si>
    <t>VIDRO LISO COMUM TRANSPARENTE, ESPESSURA 3MM</t>
  </si>
  <si>
    <t>SINAPI 72116</t>
  </si>
  <si>
    <t>SINAPI 94559</t>
  </si>
  <si>
    <t>PISO</t>
  </si>
  <si>
    <t>SINAPI 87248</t>
  </si>
  <si>
    <t>Ref. Preços</t>
  </si>
  <si>
    <t>DEMOLIÇÕES E RETIRADAS</t>
  </si>
  <si>
    <t>SINAPI 97647</t>
  </si>
  <si>
    <t>REMOÇÃO DE TELHAS, DE FIBROCIMENTO, METÁLICA E CERÂMICA, DE FORMA MANUAL, SEM REAPROVEITAMENTO. AF_12/2017</t>
  </si>
  <si>
    <t>SINAPI 97633</t>
  </si>
  <si>
    <t>DEMOLIÇÃO DE REVESTIMENTO CERÂMICO, DE FORMA MANUAL, SEM REAPROVEITAMENTO. AF_12/2017</t>
  </si>
  <si>
    <t>2.1</t>
  </si>
  <si>
    <t>2.2</t>
  </si>
  <si>
    <t>2.3</t>
  </si>
  <si>
    <t>DEMO</t>
  </si>
  <si>
    <t>CONC</t>
  </si>
  <si>
    <t>SINAPI 85662</t>
  </si>
  <si>
    <t>ARMACAO EM TELA DE ACO SOLDADA NERVURADA Q-92, ACO CA-60, 4,2MM, MALHA 15X15CM</t>
  </si>
  <si>
    <t>SINAPI 92723</t>
  </si>
  <si>
    <t>CONCRETO FCK = 20MPA, TRAÇO 1:2,7:3 (CIMENTO/ AREIA MÉDIA/ BRITA 1) - PREPARO MECÂNICO COM BETONEIRA 600 L. AF_07/2016</t>
  </si>
  <si>
    <t>M3</t>
  </si>
  <si>
    <t>SINAPI 4157/004</t>
  </si>
  <si>
    <t xml:space="preserve">LANCAMENTO/APLICACAO MANUAL DE CONCRETO </t>
  </si>
  <si>
    <t>SINAPI 87620</t>
  </si>
  <si>
    <t>CONTRAPISO EM ARGAMASSA TRAÇO 1:4 (CIMENTO E AREIA), PREPARO MECÂNICO COM BETONEIRA 400 L, APLICADO EM ÁREAS SECAS. AF_06/2014</t>
  </si>
  <si>
    <t>SINAPI 41722</t>
  </si>
  <si>
    <t>COMPACTACAO MECANICA DO SOLO</t>
  </si>
  <si>
    <t>3.1</t>
  </si>
  <si>
    <t>3.2</t>
  </si>
  <si>
    <t>3.3</t>
  </si>
  <si>
    <t>3.4</t>
  </si>
  <si>
    <t>3.5</t>
  </si>
  <si>
    <t>HIDRA</t>
  </si>
  <si>
    <t>LOUÇAS</t>
  </si>
  <si>
    <t>LOÇ</t>
  </si>
  <si>
    <t>SERÇ</t>
  </si>
  <si>
    <t>SERVIÇOS COMPLEMENTARES</t>
  </si>
  <si>
    <t>SINAPI 99814</t>
  </si>
  <si>
    <t>LIMPEZA DE SUPERFÍCIE COM JATO DE ALTA PRESSÃO. AF_04/2019</t>
  </si>
  <si>
    <t>SINAPI 72897</t>
  </si>
  <si>
    <t xml:space="preserve">CARGA MANUAL DE ENTULHO EM CAMINHAO BASCULANTE </t>
  </si>
  <si>
    <t>VASO SANITÁRIO SIFONADO COM CAIXA ACOPLADA LOUÇA BRANCA, INCLUSO ENGATE FLEXÍVEL EM PLÁSTICO BRANCO, 1/2 X 40CM - FORNECIMENTO E INSTALAÇÃO. AF_12/2013</t>
  </si>
  <si>
    <t>SINAPI 86931</t>
  </si>
  <si>
    <t>LAVATÓRIO LOUÇA BRANCA COM COLUNA, *44 X 35,5* CM, PADRÃO POPULAR, INCLUSO SIFÃO FLEXÍVEL EM PVC, VÁLVULA E ENGATE FLEXÍVEL 30CM EM PLÁSTICO E COM TORNEIRA CROMADA PADRÃO POPULAR - FORNECIMENTO E INSTALAÇÃO. AF_12/2013</t>
  </si>
  <si>
    <t>SINAPI 86939</t>
  </si>
  <si>
    <t>TANQUE SÉPTICO CIRCULAR, EM CONCRETO PRÉ-MOLDADO, DIÂMETRO INTERNO = 1,10 M, ALTURA INTERNA = 2,50 M, VOLUME ÚTIL: 2138,2 L (PARA 5 CONTRIBUINTES). AF_05/2018</t>
  </si>
  <si>
    <t>SINAPI 98052</t>
  </si>
  <si>
    <t>SUMIDOURO RETANGULAR, EM ALVENARIA COM BLOCOS DE CONCRETO, DIMENSÕES INTERNAS: 0,8 X 1,4 X 3,0 M, ÁREA DE INFILTRAÇÃO: 13,2 M² (PARA 5 CONTRIBUINTES). AF_05/2018</t>
  </si>
  <si>
    <t>SINAPI 98094</t>
  </si>
  <si>
    <t>TANQUE DE MÁRMORE SINTÉTICO SUSPENSO, 22L OU EQUIVALENTE, INCLUSO SIFÃO FLEXÍVEL EM PVC, VÁLVULA PLÁSTICA E TORNEIRA DE METAL CROMADO PADRÃO POPULAR - FORNECIMENTO E INSTALAÇÃO. AF_12/2013</t>
  </si>
  <si>
    <t>SINAPI 86929</t>
  </si>
  <si>
    <t>PREPARO DE FUNDO DE VALA COM LARGURA MAIOR OU IGUAL A 1,5 M E MENOR QUE 2,5 M, EM LOCAL COM NÍVEL BAIXO DE INTERFERÊNCIA. AF_06/2016</t>
  </si>
  <si>
    <t>SINAPI 94099</t>
  </si>
  <si>
    <t>BANCADA DE MÁRMORE SINTÉTICO 120 X 60CM, COM CUBA INTEGRADA, INCLUSO SIFÃO TIPO FLEXÍVEL EM PVC, VÁLVULA EM PLÁSTICO CROMADO TIPO AMERICANA E TORNEIRA CROMADA LONGA, DE PAREDE, PADRÃO POPULAR - FORNECIMENTO E INSTALAÇÃO. AF_12/2013</t>
  </si>
  <si>
    <t>SINAPI 86934</t>
  </si>
  <si>
    <t>CAIXA ENTERRADA HIDRÁULICA RETANGULAR EM ALVENARIA COM TIJOLOS CERÂMICOS MACIÇOS, DIMENSÕES INTERNAS: 0,3X0,3X0,3 M PARA REDE DE ESGOTO. AF_05/2018</t>
  </si>
  <si>
    <t>SINAPI 97900</t>
  </si>
  <si>
    <t>REMOÇÃO DE PORTAS, DE FORMA MANUAL, SEM REAPROVEITAMENTO. AF_12/2017</t>
  </si>
  <si>
    <t>SINAPI 97644</t>
  </si>
  <si>
    <t>SINAPI 97645</t>
  </si>
  <si>
    <t>2.4</t>
  </si>
  <si>
    <t>CAIXA D´AGUA EM POLIETILENO, 500 LITROS, COM ACESSÓRIOS</t>
  </si>
  <si>
    <t>SINAPI 88504</t>
  </si>
  <si>
    <t>TUBO, PVC, SOLDÁVEL, DN 25MM, INSTALADO EM RAMAL DE DISTRIBUIÇÃO DE ÁGUA - FORNECIMENTO E INSTALAÇÃO. AF_12/2014</t>
  </si>
  <si>
    <t>SINAPI 89402</t>
  </si>
  <si>
    <t>JOELHO 90 GRAUS, PVC, SOLDÁVEL, DN 25MM, INSTALADO EM RAMAL OU SUB-RAMAL DE ÁGUA - FORNECIMENTO E INSTALAÇÃO. AF_12/2014</t>
  </si>
  <si>
    <t>SINAPI 89362</t>
  </si>
  <si>
    <t>TUBO PVC, SERIE NORMAL, ESGOTO PREDIAL, DN 50 MM, FORNECIDO E INSTALADO EM RAMAL DE DESCARGA OU RAMAL DE ESGOTO SANITÁRIO. AF_12/2014</t>
  </si>
  <si>
    <t>SINAPI  89712</t>
  </si>
  <si>
    <t>TUBO PVC, SERIE NORMAL, ESGOTO PREDIAL, DN 40 MM, FORNECIDO E INSTALADO EM RAMAL DE DESCARGA OU RAMAL DE ESGOTO SANITÁRIO. AF_12/2014</t>
  </si>
  <si>
    <t>SINAPI  89711</t>
  </si>
  <si>
    <t>SINAPI 89801</t>
  </si>
  <si>
    <t>JOELHO 90 GRAUS, PVC, SERIE NORMAL, ESGOTO, DN 50 MM, JUNTA ELÁSTICA, FORNECIDO E INSTALADO EM PRUMADA DE ESGOTO SANITÁRIO OU VENTILAÇÃO. AF_12/2014</t>
  </si>
  <si>
    <t>SINAPI 89724</t>
  </si>
  <si>
    <t>JOELHO 90 GRAUS, PVC, SERIE NORMAL, ESGOTO, DN 40 MM, JUNTA SOLDÁVEL, FORNECIDO E INSTALADO EM RAMAL DE DESCARGA OU RAMAL DE ESGOTO SANITÁRIO. AF_12/2014</t>
  </si>
  <si>
    <t>JOELHO 90 GRAUS, PVC, SERIE NORMAL, ESGOTO PREDIAL, DN 100 MM, JUNTA ELÁSTICA, FORNECIDO E INSTALADO EM RAMAL DE DESCARGA OU RAMAL DE ESGOTO SANITÁRIO. AF_12/2014</t>
  </si>
  <si>
    <t>SINAPI 89744</t>
  </si>
  <si>
    <t>TE, PVC, SOLDÁVEL, DN 25MM, INSTALADO EM RAMAL DE DISTRIBUIÇÃO DE ÁGUA - FORNECIMENTO E INSTALAÇÃO. AF_12/2014</t>
  </si>
  <si>
    <t>SINAPI 89440</t>
  </si>
  <si>
    <t>TE, PVC, SERIE NORMAL, ESGOTO PREDIAL, DN 100 X 100 MM, JUNTA ELÁSTICA, FORNECIDO E INSTALADO EM RAMAL DE DESCARGA OU RAMAL DE ESGOTO SANITÁRIO. AF_12/2014</t>
  </si>
  <si>
    <t>SINAPI 89796</t>
  </si>
  <si>
    <t>LUVA SIMPLES, PVC, SERIE NORMAL, ESGOTO PREDIAL, DN 100 MM, JUNTA ELÁSTICA, FORNECIDO E INSTALADO EM RAMAL DE DESCARGA OU RAMAL DE ESGOTO SANITÁRIO. AF_12/2014</t>
  </si>
  <si>
    <t>SINAPI 89778</t>
  </si>
  <si>
    <t>LUVA, PVC, SOLDÁVEL, DN 25MM, INSTALADO EM RAMAL DE DISTRIBUIÇÃO DE ÁGUA - FORNECIMENTO E INSTALAÇÃO. AF_12/2014</t>
  </si>
  <si>
    <t>SINAPI 89424</t>
  </si>
  <si>
    <t>REGISTRO DE GAVETA BRUTO, LATÃO, ROSCÁVEL, 3/4", FORNECIDO E INSTALADO EM RAMAL DE ÁGUA. AF_12/2014</t>
  </si>
  <si>
    <t>SINAPI 89353</t>
  </si>
  <si>
    <t>REGISTRO DE PRESSÃO BRUTO, LATÃO, ROSCÁVEL, 3/4", COM ACABAMENTO E CANOPLA CROMADOS. FORNECIDO E INSTALADO EM RAMAL DE ÁGUA. AF_12/2014</t>
  </si>
  <si>
    <t>SINAPI 89985</t>
  </si>
  <si>
    <t>Reforma</t>
  </si>
  <si>
    <t>Vinte Unidade Habitacionais, padrão popular</t>
  </si>
  <si>
    <t>Rua Felicio Borges Rodrigues, Bairro Jardim Esperança</t>
  </si>
  <si>
    <t>1.1</t>
  </si>
  <si>
    <t>6.1</t>
  </si>
  <si>
    <t>6.2</t>
  </si>
  <si>
    <t>6.3</t>
  </si>
  <si>
    <t>6.4</t>
  </si>
  <si>
    <t>7.1</t>
  </si>
  <si>
    <t>7.2</t>
  </si>
  <si>
    <t>7.3</t>
  </si>
  <si>
    <t>4.0</t>
  </si>
  <si>
    <t>4.1</t>
  </si>
  <si>
    <t>4.2</t>
  </si>
  <si>
    <t>4.3</t>
  </si>
  <si>
    <t>4.4</t>
  </si>
  <si>
    <t>5.1</t>
  </si>
  <si>
    <t>5.2</t>
  </si>
  <si>
    <t>7.4</t>
  </si>
  <si>
    <t>7.5</t>
  </si>
  <si>
    <t>7.6</t>
  </si>
  <si>
    <t>7.8</t>
  </si>
  <si>
    <t>7.9</t>
  </si>
  <si>
    <t>7.10</t>
  </si>
  <si>
    <t>7.11</t>
  </si>
  <si>
    <t>8.16</t>
  </si>
  <si>
    <t>8.17</t>
  </si>
  <si>
    <t>8.18</t>
  </si>
  <si>
    <t>9.0</t>
  </si>
  <si>
    <t>9.1</t>
  </si>
  <si>
    <t>9.2</t>
  </si>
  <si>
    <t>9.4</t>
  </si>
  <si>
    <t>9.5</t>
  </si>
  <si>
    <t>10.0</t>
  </si>
  <si>
    <t>10.1</t>
  </si>
  <si>
    <t>10.2</t>
  </si>
  <si>
    <t>7.12</t>
  </si>
  <si>
    <t>7.13</t>
  </si>
  <si>
    <t>7.14</t>
  </si>
  <si>
    <t>7.15</t>
  </si>
  <si>
    <t>7.16</t>
  </si>
  <si>
    <t>7.17</t>
  </si>
  <si>
    <t>7.18</t>
  </si>
  <si>
    <t>7.19</t>
  </si>
  <si>
    <t>COBERTURA</t>
  </si>
  <si>
    <t>COBER</t>
  </si>
  <si>
    <t>CUMEEIRA PARA TELHA CERÂMICA EMBOÇADA COM ARGAMASSA TRAÇO 1:2:9 (CIMENTO, CAL E AREIA) PARA TELHADOS COM ATÉ 2 ÁGUAS, INCLUSO TRANSPORTE VERTICAL. AF_06/2016</t>
  </si>
  <si>
    <t>SINAPI 94221</t>
  </si>
  <si>
    <t>RECOLOCACAO DE TELHAS CERAMICAS TIPO FRANCESA, CONSIDERANDO REAPROVEITAMENTO DE MATERIAL</t>
  </si>
  <si>
    <t>SINAPI 72089</t>
  </si>
  <si>
    <t>TRAMA DE AÇO COMPOSTA POR RIPAS E CAIBROS PARA TELHADOS DE ATÉ 2 ÁGUAS PARA TELHA DE ENCAIXE DE CERÂMICA OU DE CONCRETO, INCLUSO TRANSPORTE VERTICAL. AF_12/2015</t>
  </si>
  <si>
    <t>SINAPI 92569</t>
  </si>
  <si>
    <t>DISJUNTOR MONOPOLAR TIPO DIN, CORRENTE NOMINAL DE 50A - FORNECIMENTO E INSTALAÇÃO. AF_04/2016</t>
  </si>
  <si>
    <t>SINAPI 93659</t>
  </si>
  <si>
    <t>PORTA EM AÇO DE ABRIR TIPO VENEZIANA, 87X210CM, FIXAÇÃO COM PARAFUSOS - FORNECIMENTO E INSTALAÇÃO. AF_08/2015</t>
  </si>
  <si>
    <t>DISJUNTOR MONOPOLAR TIPO DIN, CORRENTE NOMINAL DE 10A - FORNECIMENTO E INSTALAÇÃO. AF_04/2016</t>
  </si>
  <si>
    <t>SINAPI 93653</t>
  </si>
  <si>
    <t>SINAPI 93654</t>
  </si>
  <si>
    <t>DISJUNTOR MONOPOLAR TIPO DIN, CORRENTE NOMINAL DE 16A - FORNECIMENTO E INSTALAÇÃO. AF_04/2016</t>
  </si>
  <si>
    <t>PISOS E ALVENARIA</t>
  </si>
  <si>
    <t>SINAPI 87894</t>
  </si>
  <si>
    <t>SINAPI 87775</t>
  </si>
  <si>
    <t>5.3</t>
  </si>
  <si>
    <t>5.4</t>
  </si>
  <si>
    <t>5.5</t>
  </si>
  <si>
    <t xml:space="preserve">Preço unitário </t>
  </si>
  <si>
    <t>TELHAMENTO COM TELHA CERÂMICA DE ENCAIXE, TIPO ROMANA, COM ATÉ 2 ÁGUAS, INCLUSO TRANSPORTE VERTICAL. AF_06/2016</t>
  </si>
  <si>
    <t>SINAPI 94442</t>
  </si>
  <si>
    <t>TUBO PVC, SERIE NORMAL, ESGOTO PREDIAL, DN 100 MM, FORNECIDO E INSTALADO EM SUBCOLETOR AÉREO DE ESGOTO SANITÁRIO. AF_12/2014</t>
  </si>
  <si>
    <t>SINAPI  89848</t>
  </si>
  <si>
    <t>TORNEIRA DE BOIA, ROSCÁVEL, 3/4 , FORNECIDA E INSTALADA EM RESERVAÇÃO DE ÁGUA. AF_06/2016</t>
  </si>
  <si>
    <t>SINAPI 94796</t>
  </si>
  <si>
    <t>7.20</t>
  </si>
  <si>
    <t>7.21</t>
  </si>
  <si>
    <t>CABO DE COBRE FLEXÍVEL ISOLADO, 10 MM², ANTI-CHAMA 450/750 V, PARA CIRCUITOS TERMINAIS - FORNECIMENTO E INSTALAÇÃO. AF_12/2015</t>
  </si>
  <si>
    <t>SINAPI 91932</t>
  </si>
  <si>
    <t>TUBO, PVC, SOLDÁVEL, DN 32MM, INSTALADO EM RAMAL DE DISTRIBUIÇÃO DE ÁGUA - FORNECIMENTO E INSTALAÇÃO. AF_12/2014</t>
  </si>
  <si>
    <t>SINAPI 89403</t>
  </si>
  <si>
    <t>JOELHO 90 GRAUS, PVC, SOLDÁVEL, DN 32MM, INSTALADO EM RAMAL OU SUB-RAMAL DE ÁGUA - FORNECIMENTO E INSTALAÇÃO. AF_12/2014</t>
  </si>
  <si>
    <t>SINAPI 89367</t>
  </si>
  <si>
    <t>ADAPTADOR COM FLANGES LIVRES, PVC, SOLDÁVEL, DN 32 MM X 1 , INSTALADO EM RESERVAÇÃO DE ÁGUA DE EDIFICAÇÃO QUE POSSUA RESERVATÓRIO DE FIBRA/FIBROCIMENTO FORNECIMENTO E INSTALAÇÃO. AF_06/2016</t>
  </si>
  <si>
    <t>SINAPI 94709</t>
  </si>
  <si>
    <t>ADAPTADOR COM FLANGES LIVRES, PVC, SOLDÁVEL LONGO, DN 25 MM X 3/4 , INSTALADO EM RESERVAÇÃO DE ÁGUA DE EDIFICAÇÃO QUE POSSUA RESERVATÓRIO DE FIBRA/FIBROCIMENTO FORNECIMENTO E INSTALAÇÃO. AF_06/2016</t>
  </si>
  <si>
    <t>SINAPI 95141</t>
  </si>
  <si>
    <t>7.7</t>
  </si>
  <si>
    <t>7.22</t>
  </si>
  <si>
    <t>7.23</t>
  </si>
  <si>
    <t>7.24</t>
  </si>
  <si>
    <t>SINAPI 00011745</t>
  </si>
  <si>
    <t>H</t>
  </si>
  <si>
    <t>SINAPI 88315</t>
  </si>
  <si>
    <t>SINAPI/SINDUSCON-MS</t>
  </si>
  <si>
    <t>PLACA DE OBRA EM CHAPA DE ACO GALVANIZADA</t>
  </si>
  <si>
    <t>6.5</t>
  </si>
  <si>
    <t>6.6</t>
  </si>
  <si>
    <t>6.7</t>
  </si>
  <si>
    <t>SINAPI 74064/001</t>
  </si>
  <si>
    <t>FUNDO ANTICORROSIVO A BASE DE OXIDO DE FERRO (ZARCAO), DUAS DEMAOS</t>
  </si>
  <si>
    <t>RALO SIFONADO PVC, QUADRADO, 100 X 100 X 53 MM, COM GRELHA BRANCA</t>
  </si>
  <si>
    <t>REMOÇÃO DE JANELAS COM VIDROS, DE FORMA MANUAL, SEM REAPROVEITAMENTO. AF_12/2017</t>
  </si>
  <si>
    <t>REVESTIMENTO CERÂMICO PARA PISO COM PLACAS TIPO ESMALTADA EXTRA DE DIMENSÕES 35X35 CM, DEVIDAMENTE REJUNTADOS. AF_06/2014</t>
  </si>
  <si>
    <t>FABRICAÇÃO E INSTALAÇÃO DE TESOURA INTEIRA EM AÇO, VÃO DE 6 M, PARA TELHA CERÂMICA OU DE CONCRETO, INCLUSO IÇAMENTO. AF_12/2015</t>
  </si>
  <si>
    <t>SINAPI 92588</t>
  </si>
  <si>
    <t>SINAPI 91307</t>
  </si>
  <si>
    <t>FECHADURA DE EMBUTIR PARA PORTAS, COMPLETA, COM EXECUÇÃO DE FURO - FORNECIMENTO E INSTALAÇÃO. AF_08/2015</t>
  </si>
  <si>
    <t>SINAPI 00003096</t>
  </si>
  <si>
    <t>FECHO / FECHADURA CONCHA COM ALAVANCA / TRAVA, DE EMBUTIR, PARA JANELA DE CORRER EM LATAO OU ACO INOX - COMPLETO</t>
  </si>
  <si>
    <t>4.5</t>
  </si>
  <si>
    <t>4.6</t>
  </si>
  <si>
    <t>SINAPI 93358</t>
  </si>
  <si>
    <t>ESCAVAÇÃO MANUAL DE VALA COM PROFUNDIDADE MENOR OU IGUAL A 1,30 M. AF_ M3 C 53,92
03/2016</t>
  </si>
  <si>
    <t>SINAPI 93382</t>
  </si>
  <si>
    <t>REATERRO MANUAL DE VALAS COM COMPACTAÇÃO MECANIZADA. AF_04/2016</t>
  </si>
  <si>
    <t>7.25</t>
  </si>
  <si>
    <t>7.26</t>
  </si>
  <si>
    <t>SINAPI 90447</t>
  </si>
  <si>
    <t>RASGO EM ALVENARIA PARA ELETRODUTOS COM DIAMETROS MENORES OU IGUAIS A 40 MM. AF_05/2015</t>
  </si>
  <si>
    <t>8.19</t>
  </si>
  <si>
    <t>SINAPI 87879</t>
  </si>
  <si>
    <t>CHAPISCO APLICADO EM ALVENARIAS INTERNAS, COM COLHER DE PEDREIRO. ARGAMASSA TRAÇO 1:3 COM PREPARO EM BETONEIRA 400L. AF_06/2014</t>
  </si>
  <si>
    <t>SINAPI 87529</t>
  </si>
  <si>
    <t>REBOCO, PARA RECEBIMENTO DE PINTURA, EM ARGAMASSA TRAÇO 1:2:8, PREPARO MECÂNICO COM BETONEIRA 400L, APLICADA MANUALMENTE EM FACES INTERNAS DE PAREDES, ESPESSURA DE 20MM, COM EXECUÇÃO DE TALISCAS. AF_06/2014</t>
  </si>
  <si>
    <t>CHAPISCO APLICADO EM ALVENARIA EXTERNA (SEM PRESENÇA DE VÃOS) , COM COLHER DE PEDREIRO. ARGAMASSA TRAÇO 1:3 COM PREPARO EM BETONEIRA 400L. AF_06/2014</t>
  </si>
  <si>
    <t>REBOCO TRAÇO 1:2:8, PREPARO MECÂNICO COM BETONEIRA 400 L, APLICADA MANUALMENTE EM ALVENARIA EXTERNA COM PRESENÇA DE VÃOS, ESPESSURA DE 25 MM. AF_06/2014</t>
  </si>
  <si>
    <t>ESTRUTURA DE CONCRETO (CONTRAPISO E TAMPAS DE CAIXA HIDRAULICAS)</t>
  </si>
  <si>
    <t>SERRALHEIRO COM ENCARGOS COMPLEMENTARES (READAPTAÇÃO DO TELHADO UNI. HAB. 14 E 15)</t>
  </si>
  <si>
    <t>INSTALACAO HIDROSSANITÁRIA</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</si>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</sst>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0.00_-;\-&quot;R$&quot;* #,##0.00_-;_-&quot;R$&quot;* &quot;-&quot;??_-;_-@_-"/>
    <numFmt numFmtId="43" formatCode="_-* #,##0.00_-;\-* #,##0.00_-;_-* &quot;-&quot;??_-;_-@_-"/>
    <numFmt numFmtId="165" formatCode="00"/>
    <numFmt numFmtId="167" formatCode="&quot;R$&quot;\ #,##0.00"/>
    <numFmt numFmtId="168" formatCode="#,##0.00_ ;\-#,##0.00\ "/>
    <numFmt numFmtId="169" formatCode="0.000%"/>
    <numFmt numFmtId="170" formatCode="0.0%"/>
    <numFmt numFmtId="171" formatCode="_(&quot;R$ &quot;* #,##0.00_);_(&quot;R$ &quot;* \(#,##0.00\);_(&quot;R$ &quot;* &quot;-&quot;??_);_(@_)"/>
  </numFmts>
  <fonts count="40" x14ac:knownFonts="1">
    <font>
      <sz val="11"/>
      <color theme="1"/>
      <name val="Calibri"/>
      <family val="2"/>
      <scheme val="minor"/>
    </font>
    <font>
      <sz val="26"/>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0"/>
      <name val="Arial"/>
      <family val="2"/>
    </font>
    <font>
      <u/>
      <sz val="11"/>
      <color theme="1"/>
      <name val="Calibri"/>
      <family val="2"/>
      <scheme val="minor"/>
    </font>
    <font>
      <u/>
      <sz val="12"/>
      <color theme="1"/>
      <name val="Calibri"/>
      <family val="2"/>
      <scheme val="minor"/>
    </font>
    <font>
      <b/>
      <u/>
      <sz val="12"/>
      <color theme="1"/>
      <name val="Calibri"/>
      <family val="2"/>
      <scheme val="minor"/>
    </font>
    <font>
      <b/>
      <u/>
      <sz val="8"/>
      <name val="Arial"/>
      <family val="2"/>
    </font>
    <font>
      <u/>
      <sz val="8"/>
      <color theme="1"/>
      <name val="Arial"/>
      <family val="2"/>
    </font>
    <font>
      <u/>
      <sz val="8"/>
      <name val="Arial"/>
      <family val="2"/>
    </font>
    <font>
      <u/>
      <sz val="7"/>
      <name val="Arial"/>
      <family val="2"/>
    </font>
    <font>
      <sz val="11"/>
      <name val="Calibri"/>
      <family val="2"/>
      <scheme val="minor"/>
    </font>
    <font>
      <u/>
      <sz val="11"/>
      <name val="Calibri"/>
      <family val="2"/>
      <scheme val="minor"/>
    </font>
    <font>
      <b/>
      <sz val="10"/>
      <name val="Arial"/>
      <family val="2"/>
    </font>
    <font>
      <sz val="10"/>
      <color theme="1"/>
      <name val="Calibri"/>
      <family val="2"/>
      <scheme val="minor"/>
    </font>
    <font>
      <sz val="10"/>
      <color theme="1"/>
      <name val="Arial"/>
      <family val="2"/>
    </font>
    <font>
      <b/>
      <sz val="9"/>
      <name val="Arial"/>
      <family val="2"/>
    </font>
    <font>
      <sz val="10"/>
      <color rgb="FFFF0000"/>
      <name val="Arial"/>
      <family val="2"/>
    </font>
    <font>
      <b/>
      <sz val="16"/>
      <name val="Arial"/>
      <family val="2"/>
    </font>
    <font>
      <b/>
      <sz val="12"/>
      <name val="Arial"/>
      <family val="2"/>
    </font>
    <font>
      <b/>
      <sz val="10"/>
      <color rgb="FF0000FF"/>
      <name val="Arial"/>
      <family val="2"/>
    </font>
    <font>
      <b/>
      <sz val="10"/>
      <color rgb="FFFF0000"/>
      <name val="Arial"/>
      <family val="2"/>
    </font>
    <font>
      <sz val="9"/>
      <name val="Arial"/>
      <family val="2"/>
    </font>
    <font>
      <b/>
      <sz val="12"/>
      <color rgb="FFFF0000"/>
      <name val="Arial"/>
      <family val="2"/>
    </font>
    <font>
      <b/>
      <sz val="10"/>
      <color rgb="FF333399"/>
      <name val="Arial"/>
      <family val="2"/>
    </font>
    <font>
      <sz val="10"/>
      <color rgb="FF333399"/>
      <name val="Arial"/>
      <family val="2"/>
    </font>
    <font>
      <b/>
      <sz val="11"/>
      <name val="Arial"/>
      <family val="2"/>
    </font>
    <font>
      <b/>
      <sz val="16"/>
      <color rgb="FFFF0000"/>
      <name val="Arial"/>
      <family val="2"/>
    </font>
    <font>
      <b/>
      <sz val="14"/>
      <color rgb="FFFF0000"/>
      <name val="Arial"/>
      <family val="2"/>
    </font>
    <font>
      <sz val="11"/>
      <name val="Arial"/>
      <family val="2"/>
    </font>
    <font>
      <b/>
      <sz val="28"/>
      <color theme="0"/>
      <name val="Calibri"/>
      <family val="2"/>
      <scheme val="minor"/>
    </font>
    <font>
      <b/>
      <sz val="12"/>
      <name val="Calibri"/>
      <family val="2"/>
      <scheme val="minor"/>
    </font>
    <font>
      <sz val="12"/>
      <color theme="1" tint="4.9989318521683403E-2"/>
      <name val="Calibri"/>
      <family val="2"/>
      <scheme val="minor"/>
    </font>
    <font>
      <sz val="8"/>
      <name val="Calibri"/>
      <family val="2"/>
      <scheme val="minor"/>
    </font>
    <font>
      <sz val="10"/>
      <name val="Arial"/>
    </font>
  </fonts>
  <fills count="8">
    <fill>
      <patternFill patternType="none"/>
    </fill>
    <fill>
      <patternFill patternType="gray125"/>
    </fill>
    <fill>
      <patternFill patternType="solid">
        <fgColor indexed="26"/>
        <bgColor indexed="64"/>
      </patternFill>
    </fill>
    <fill>
      <patternFill patternType="solid">
        <fgColor rgb="FFFFFFCC"/>
        <bgColor rgb="FFFFFFCC"/>
      </patternFill>
    </fill>
    <fill>
      <patternFill patternType="solid">
        <fgColor rgb="FFCCFFCC"/>
        <bgColor rgb="FFCCFFCC"/>
      </patternFill>
    </fill>
    <fill>
      <patternFill patternType="solid">
        <fgColor rgb="FFC0C0C0"/>
        <bgColor rgb="FFC0C0C0"/>
      </patternFill>
    </fill>
    <fill>
      <patternFill patternType="solid">
        <fgColor theme="1" tint="0.249977111117893"/>
        <bgColor indexed="64"/>
      </patternFill>
    </fill>
    <fill>
      <patternFill patternType="solid">
        <fgColor theme="0" tint="-0.34998626667073579"/>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0">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2" borderId="0"/>
    <xf numFmtId="0" fontId="8" fillId="0" borderId="0"/>
    <xf numFmtId="43" fontId="2" fillId="0" borderId="0" applyFont="0" applyFill="0" applyBorder="0" applyAlignment="0" applyProtection="0"/>
    <xf numFmtId="44" fontId="2" fillId="0" borderId="0" applyFont="0" applyFill="0" applyBorder="0" applyAlignment="0" applyProtection="0"/>
    <xf numFmtId="0" fontId="39" fillId="0" borderId="0"/>
    <xf numFmtId="171" fontId="39" fillId="0" borderId="0" applyFont="0" applyFill="0" applyBorder="0" applyAlignment="0" applyProtection="0"/>
    <xf numFmtId="9" fontId="39" fillId="0" borderId="0" applyFont="0" applyFill="0" applyBorder="0" applyAlignment="0" applyProtection="0"/>
  </cellStyleXfs>
  <cellXfs count="250">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vertical="center"/>
    </xf>
    <xf numFmtId="167" fontId="4" fillId="0" borderId="0" xfId="1"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14" fillId="0" borderId="0" xfId="3" applyFont="1" applyFill="1" applyBorder="1" applyAlignment="1" applyProtection="1">
      <alignment vertical="center"/>
    </xf>
    <xf numFmtId="0" fontId="15" fillId="0" borderId="0" xfId="3" applyFont="1" applyFill="1" applyBorder="1" applyAlignment="1" applyProtection="1">
      <alignment horizontal="right" vertical="center"/>
    </xf>
    <xf numFmtId="0" fontId="20" fillId="0" borderId="0" xfId="0" applyFont="1" applyBorder="1" applyAlignment="1">
      <alignment vertical="center"/>
    </xf>
    <xf numFmtId="9" fontId="16" fillId="0" borderId="0" xfId="2" applyFont="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0" xfId="3" applyFont="1" applyFill="1" applyBorder="1" applyAlignment="1" applyProtection="1">
      <alignment vertical="center"/>
    </xf>
    <xf numFmtId="0" fontId="8" fillId="0" borderId="8" xfId="0" applyFont="1" applyBorder="1"/>
    <xf numFmtId="0" fontId="8" fillId="0" borderId="10" xfId="0" applyFont="1" applyBorder="1"/>
    <xf numFmtId="0" fontId="8" fillId="0" borderId="0" xfId="0" applyFont="1"/>
    <xf numFmtId="0" fontId="0" fillId="0" borderId="0" xfId="0" applyFont="1" applyAlignment="1"/>
    <xf numFmtId="0" fontId="24" fillId="0" borderId="0" xfId="0" applyFont="1" applyAlignment="1">
      <alignment horizontal="center" vertical="center"/>
    </xf>
    <xf numFmtId="0" fontId="8" fillId="0" borderId="11" xfId="0" applyFont="1" applyBorder="1"/>
    <xf numFmtId="0" fontId="24" fillId="0" borderId="12" xfId="0" applyFont="1" applyBorder="1" applyAlignment="1">
      <alignment horizontal="center" vertical="center"/>
    </xf>
    <xf numFmtId="0" fontId="8" fillId="0" borderId="13" xfId="0" applyFont="1" applyBorder="1"/>
    <xf numFmtId="0" fontId="8" fillId="0" borderId="14" xfId="0" applyFont="1" applyBorder="1"/>
    <xf numFmtId="0" fontId="8" fillId="0" borderId="15" xfId="0" applyFont="1" applyBorder="1"/>
    <xf numFmtId="0" fontId="18" fillId="0" borderId="0" xfId="0" applyFont="1" applyAlignment="1">
      <alignment vertical="center"/>
    </xf>
    <xf numFmtId="0" fontId="21" fillId="0" borderId="0" xfId="0" applyFont="1" applyAlignment="1">
      <alignment vertical="center"/>
    </xf>
    <xf numFmtId="0" fontId="18" fillId="3" borderId="19" xfId="0" applyFont="1" applyFill="1" applyBorder="1" applyAlignment="1">
      <alignment horizontal="center"/>
    </xf>
    <xf numFmtId="0" fontId="26" fillId="0" borderId="0" xfId="0" applyFont="1"/>
    <xf numFmtId="0" fontId="2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10" fontId="18" fillId="0" borderId="0" xfId="0" applyNumberFormat="1"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xf>
    <xf numFmtId="10" fontId="8" fillId="0" borderId="0" xfId="0" applyNumberFormat="1" applyFont="1" applyAlignment="1">
      <alignment horizontal="center"/>
    </xf>
    <xf numFmtId="10" fontId="25" fillId="3" borderId="19" xfId="0" applyNumberFormat="1" applyFont="1" applyFill="1" applyBorder="1" applyAlignment="1">
      <alignment horizontal="center" vertical="center" wrapText="1"/>
    </xf>
    <xf numFmtId="0" fontId="22" fillId="0" borderId="0" xfId="0" applyFont="1"/>
    <xf numFmtId="10" fontId="25" fillId="0" borderId="0" xfId="0" applyNumberFormat="1" applyFont="1" applyAlignment="1">
      <alignment vertical="center" wrapText="1"/>
    </xf>
    <xf numFmtId="10" fontId="18" fillId="0" borderId="0" xfId="0" applyNumberFormat="1" applyFont="1" applyAlignment="1">
      <alignment vertical="center" wrapText="1"/>
    </xf>
    <xf numFmtId="169" fontId="28" fillId="0" borderId="0" xfId="0" applyNumberFormat="1" applyFont="1"/>
    <xf numFmtId="10" fontId="8" fillId="0" borderId="0" xfId="0" applyNumberFormat="1" applyFont="1"/>
    <xf numFmtId="0" fontId="8" fillId="0" borderId="23" xfId="0" applyFont="1" applyBorder="1"/>
    <xf numFmtId="0" fontId="8" fillId="0" borderId="25" xfId="0" applyFont="1" applyBorder="1"/>
    <xf numFmtId="0" fontId="8" fillId="0" borderId="12" xfId="0" applyFont="1" applyBorder="1"/>
    <xf numFmtId="0" fontId="29" fillId="0" borderId="0" xfId="0" applyFont="1" applyAlignment="1">
      <alignment horizontal="center" vertical="center" wrapText="1"/>
    </xf>
    <xf numFmtId="0" fontId="8" fillId="0" borderId="0" xfId="0" applyFont="1" applyAlignment="1">
      <alignment horizontal="center"/>
    </xf>
    <xf numFmtId="0" fontId="30" fillId="0" borderId="0" xfId="0" applyFont="1" applyAlignment="1">
      <alignment horizontal="left" vertical="center" wrapText="1"/>
    </xf>
    <xf numFmtId="10" fontId="30" fillId="0" borderId="0" xfId="0" applyNumberFormat="1" applyFont="1" applyAlignment="1">
      <alignment horizontal="center" vertical="center" wrapText="1"/>
    </xf>
    <xf numFmtId="10" fontId="26" fillId="3" borderId="26" xfId="0" applyNumberFormat="1" applyFont="1" applyFill="1" applyBorder="1" applyAlignment="1">
      <alignment horizontal="center" vertical="center" wrapText="1"/>
    </xf>
    <xf numFmtId="10" fontId="8" fillId="0" borderId="15" xfId="0" applyNumberFormat="1" applyFont="1" applyBorder="1"/>
    <xf numFmtId="10" fontId="26" fillId="3" borderId="27" xfId="0" applyNumberFormat="1" applyFont="1" applyFill="1" applyBorder="1" applyAlignment="1">
      <alignment horizontal="center" vertical="center" wrapText="1"/>
    </xf>
    <xf numFmtId="10" fontId="26" fillId="3" borderId="28" xfId="0" applyNumberFormat="1" applyFont="1" applyFill="1" applyBorder="1" applyAlignment="1">
      <alignment horizontal="center" vertical="center" wrapText="1"/>
    </xf>
    <xf numFmtId="0" fontId="29" fillId="0" borderId="0" xfId="0" applyFont="1" applyAlignment="1">
      <alignment horizontal="left" vertical="center" wrapText="1"/>
    </xf>
    <xf numFmtId="169" fontId="18" fillId="0" borderId="0" xfId="0" applyNumberFormat="1" applyFont="1" applyAlignment="1">
      <alignment horizontal="center" vertical="center" wrapText="1"/>
    </xf>
    <xf numFmtId="169" fontId="8" fillId="0" borderId="0" xfId="0" applyNumberFormat="1" applyFont="1"/>
    <xf numFmtId="0" fontId="31" fillId="0" borderId="0" xfId="0" applyFont="1"/>
    <xf numFmtId="0" fontId="18" fillId="0" borderId="0" xfId="0" applyFont="1"/>
    <xf numFmtId="10" fontId="28" fillId="0" borderId="0" xfId="0" applyNumberFormat="1" applyFont="1" applyAlignment="1">
      <alignment horizontal="center"/>
    </xf>
    <xf numFmtId="0" fontId="33" fillId="0" borderId="0" xfId="0" applyFont="1" applyAlignment="1">
      <alignment horizontal="center"/>
    </xf>
    <xf numFmtId="0" fontId="18" fillId="0" borderId="0" xfId="0" applyFont="1" applyAlignment="1">
      <alignment vertical="center" wrapText="1"/>
    </xf>
    <xf numFmtId="0" fontId="29" fillId="0" borderId="24" xfId="0" applyFont="1" applyBorder="1" applyAlignment="1">
      <alignment horizontal="left" vertical="center" wrapText="1"/>
    </xf>
    <xf numFmtId="10" fontId="30" fillId="0" borderId="24" xfId="0" applyNumberFormat="1" applyFont="1" applyBorder="1" applyAlignment="1">
      <alignment horizontal="center" vertical="center" wrapText="1"/>
    </xf>
    <xf numFmtId="0" fontId="8" fillId="0" borderId="24" xfId="0" applyFont="1" applyBorder="1"/>
    <xf numFmtId="170" fontId="8" fillId="0" borderId="0" xfId="0" applyNumberFormat="1" applyFont="1" applyAlignment="1">
      <alignment horizontal="center"/>
    </xf>
    <xf numFmtId="9" fontId="8" fillId="0" borderId="0" xfId="0" applyNumberFormat="1" applyFont="1"/>
    <xf numFmtId="0" fontId="18" fillId="0" borderId="14" xfId="0" applyFont="1" applyBorder="1" applyAlignment="1">
      <alignment vertical="center"/>
    </xf>
    <xf numFmtId="0" fontId="8" fillId="0" borderId="0" xfId="0" applyFont="1" applyAlignment="1">
      <alignment vertical="center" wrapText="1"/>
    </xf>
    <xf numFmtId="0" fontId="34" fillId="0" borderId="0" xfId="0" applyFont="1" applyAlignment="1">
      <alignment vertical="center" wrapText="1"/>
    </xf>
    <xf numFmtId="0" fontId="8" fillId="0" borderId="14" xfId="0" applyFont="1" applyBorder="1" applyAlignment="1">
      <alignment vertical="center"/>
    </xf>
    <xf numFmtId="0" fontId="18" fillId="0" borderId="14" xfId="0" applyFont="1" applyBorder="1"/>
    <xf numFmtId="0" fontId="34" fillId="0" borderId="31" xfId="0" applyFont="1" applyBorder="1" applyAlignment="1">
      <alignment vertical="top" wrapText="1"/>
    </xf>
    <xf numFmtId="10" fontId="34" fillId="0" borderId="25" xfId="0" applyNumberFormat="1" applyFont="1" applyBorder="1" applyAlignment="1">
      <alignment horizontal="center" vertical="top" wrapText="1"/>
    </xf>
    <xf numFmtId="0" fontId="34" fillId="0" borderId="32" xfId="0" applyFont="1" applyBorder="1" applyAlignment="1">
      <alignment vertical="top" wrapText="1"/>
    </xf>
    <xf numFmtId="10" fontId="34" fillId="0" borderId="33" xfId="0" applyNumberFormat="1" applyFont="1" applyBorder="1" applyAlignment="1">
      <alignment horizontal="center" vertical="top" wrapText="1"/>
    </xf>
    <xf numFmtId="0" fontId="8" fillId="0" borderId="14" xfId="0" applyFont="1" applyBorder="1" applyAlignment="1">
      <alignment wrapText="1"/>
    </xf>
    <xf numFmtId="0" fontId="8" fillId="5" borderId="0" xfId="0" applyFont="1" applyFill="1" applyBorder="1" applyAlignment="1">
      <alignment wrapText="1"/>
    </xf>
    <xf numFmtId="0" fontId="8" fillId="0" borderId="0" xfId="0" applyFont="1" applyAlignment="1">
      <alignment wrapText="1"/>
    </xf>
    <xf numFmtId="0" fontId="8" fillId="0" borderId="15" xfId="0" applyFont="1" applyBorder="1" applyAlignment="1">
      <alignment wrapText="1"/>
    </xf>
    <xf numFmtId="0" fontId="8" fillId="0" borderId="19" xfId="0" applyFont="1" applyBorder="1"/>
    <xf numFmtId="0" fontId="8" fillId="0" borderId="19" xfId="0" applyFont="1" applyBorder="1" applyAlignment="1">
      <alignment horizontal="center"/>
    </xf>
    <xf numFmtId="10" fontId="34" fillId="0" borderId="19" xfId="0" applyNumberFormat="1" applyFont="1" applyBorder="1" applyAlignment="1">
      <alignment horizontal="center" vertical="top" wrapText="1"/>
    </xf>
    <xf numFmtId="0" fontId="34" fillId="0" borderId="19" xfId="0" applyFont="1" applyBorder="1" applyAlignment="1">
      <alignment vertical="top" wrapText="1"/>
    </xf>
    <xf numFmtId="0" fontId="34" fillId="0" borderId="32" xfId="0" applyFont="1" applyBorder="1" applyAlignment="1">
      <alignment horizontal="center" vertical="top" wrapText="1"/>
    </xf>
    <xf numFmtId="0" fontId="34" fillId="0" borderId="33" xfId="0" applyFont="1" applyBorder="1" applyAlignment="1">
      <alignment horizontal="center" vertical="top" wrapText="1"/>
    </xf>
    <xf numFmtId="0" fontId="8" fillId="0" borderId="0" xfId="4" applyFont="1" applyFill="1" applyBorder="1" applyAlignment="1" applyProtection="1">
      <alignment horizontal="left" vertical="center"/>
    </xf>
    <xf numFmtId="0" fontId="14" fillId="0" borderId="0" xfId="4" applyFont="1" applyFill="1" applyBorder="1" applyAlignment="1" applyProtection="1">
      <alignment horizontal="left" vertical="center"/>
    </xf>
    <xf numFmtId="9" fontId="16" fillId="0" borderId="0" xfId="2" applyFont="1" applyAlignment="1">
      <alignment horizontal="center" vertical="center"/>
    </xf>
    <xf numFmtId="0" fontId="16" fillId="0" borderId="0" xfId="0" applyFont="1" applyFill="1" applyAlignment="1">
      <alignment horizontal="center" vertical="center"/>
    </xf>
    <xf numFmtId="4" fontId="7" fillId="0" borderId="0" xfId="0" applyNumberFormat="1" applyFont="1" applyFill="1" applyAlignment="1">
      <alignment horizontal="center" vertical="center"/>
    </xf>
    <xf numFmtId="0" fontId="18" fillId="0" borderId="0" xfId="3" applyFont="1" applyFill="1" applyBorder="1" applyAlignment="1" applyProtection="1">
      <alignment horizontal="center" vertical="center"/>
    </xf>
    <xf numFmtId="0" fontId="8" fillId="0" borderId="0" xfId="4" applyFont="1" applyFill="1" applyBorder="1" applyAlignment="1" applyProtection="1">
      <alignment horizontal="center" vertical="center"/>
    </xf>
    <xf numFmtId="0" fontId="20" fillId="0" borderId="0" xfId="0" applyFont="1" applyBorder="1" applyAlignment="1">
      <alignment horizontal="center" vertical="center"/>
    </xf>
    <xf numFmtId="0" fontId="12" fillId="0" borderId="0" xfId="3" applyFont="1" applyFill="1" applyBorder="1" applyAlignment="1" applyProtection="1">
      <alignment horizontal="center" vertical="center"/>
    </xf>
    <xf numFmtId="0" fontId="14" fillId="0" borderId="0" xfId="4" applyFont="1" applyFill="1" applyBorder="1" applyAlignment="1" applyProtection="1">
      <alignment horizontal="center" vertical="center"/>
    </xf>
    <xf numFmtId="0" fontId="13" fillId="0" borderId="0" xfId="0" applyFont="1" applyBorder="1" applyAlignment="1">
      <alignment horizontal="center" vertical="center"/>
    </xf>
    <xf numFmtId="0" fontId="12" fillId="0" borderId="0" xfId="4" applyFont="1" applyFill="1" applyBorder="1" applyAlignment="1" applyProtection="1">
      <alignment horizontal="left" vertical="center"/>
    </xf>
    <xf numFmtId="9" fontId="5" fillId="0" borderId="7" xfId="0" applyNumberFormat="1" applyFont="1" applyBorder="1" applyAlignment="1">
      <alignment horizontal="left" vertical="center"/>
    </xf>
    <xf numFmtId="0" fontId="5" fillId="0" borderId="7" xfId="0" applyFont="1" applyBorder="1" applyAlignment="1">
      <alignment vertical="center"/>
    </xf>
    <xf numFmtId="0" fontId="0" fillId="0" borderId="0" xfId="0" applyFill="1" applyAlignment="1">
      <alignment vertical="center"/>
    </xf>
    <xf numFmtId="0" fontId="4" fillId="0" borderId="5" xfId="0" applyFont="1" applyBorder="1" applyAlignment="1">
      <alignment horizontal="left" vertical="center"/>
    </xf>
    <xf numFmtId="4" fontId="4" fillId="0" borderId="0" xfId="0" applyNumberFormat="1" applyFont="1" applyAlignment="1">
      <alignment horizontal="right" vertical="center"/>
    </xf>
    <xf numFmtId="4" fontId="4" fillId="0" borderId="0" xfId="0" applyNumberFormat="1"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4" fontId="0" fillId="0" borderId="0" xfId="0" applyNumberFormat="1" applyBorder="1" applyAlignment="1">
      <alignment horizontal="right" vertical="center"/>
    </xf>
    <xf numFmtId="4" fontId="0" fillId="0" borderId="0" xfId="0" applyNumberFormat="1" applyBorder="1" applyAlignment="1">
      <alignment vertical="center"/>
    </xf>
    <xf numFmtId="0" fontId="5"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4" fontId="9" fillId="0" borderId="0" xfId="0" applyNumberFormat="1" applyFont="1" applyBorder="1" applyAlignment="1">
      <alignment horizontal="right" vertical="center"/>
    </xf>
    <xf numFmtId="0" fontId="9"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xf>
    <xf numFmtId="4" fontId="9" fillId="0" borderId="0" xfId="0" applyNumberFormat="1" applyFont="1" applyBorder="1" applyAlignment="1">
      <alignment vertical="center"/>
    </xf>
    <xf numFmtId="0" fontId="0" fillId="0" borderId="0" xfId="0" applyAlignment="1">
      <alignment horizontal="left" vertical="center"/>
    </xf>
    <xf numFmtId="4" fontId="0" fillId="0" borderId="0" xfId="0" applyNumberFormat="1" applyAlignment="1">
      <alignment horizontal="right" vertical="center"/>
    </xf>
    <xf numFmtId="4" fontId="0" fillId="0" borderId="0" xfId="0" applyNumberFormat="1" applyAlignment="1">
      <alignment vertical="center"/>
    </xf>
    <xf numFmtId="9" fontId="36" fillId="0" borderId="7" xfId="0" applyNumberFormat="1" applyFont="1" applyBorder="1" applyAlignment="1">
      <alignment horizontal="left" vertical="center"/>
    </xf>
    <xf numFmtId="4" fontId="5" fillId="0" borderId="1" xfId="0" applyNumberFormat="1" applyFont="1" applyFill="1" applyBorder="1" applyAlignment="1">
      <alignment horizontal="center" vertical="center"/>
    </xf>
    <xf numFmtId="0" fontId="8"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0" fillId="0" borderId="0" xfId="0" applyBorder="1" applyAlignment="1">
      <alignment horizontal="center" vertical="center"/>
    </xf>
    <xf numFmtId="0" fontId="12" fillId="0" borderId="0" xfId="3" applyFont="1" applyFill="1" applyBorder="1" applyAlignment="1" applyProtection="1">
      <alignment horizontal="left" vertical="center"/>
    </xf>
    <xf numFmtId="0" fontId="18" fillId="0" borderId="0" xfId="3" applyFont="1" applyFill="1" applyBorder="1" applyAlignment="1" applyProtection="1">
      <alignment horizontal="left" vertical="center"/>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165" fontId="5" fillId="7" borderId="3"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7" xfId="0" applyFont="1" applyFill="1" applyBorder="1" applyAlignment="1">
      <alignment horizontal="center" vertical="center" wrapText="1"/>
    </xf>
    <xf numFmtId="4" fontId="4" fillId="0" borderId="7" xfId="0" applyNumberFormat="1" applyFont="1" applyFill="1" applyBorder="1" applyAlignment="1">
      <alignment vertical="center" wrapText="1"/>
    </xf>
    <xf numFmtId="0" fontId="4"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horizontal="center" vertical="center" wrapText="1"/>
    </xf>
    <xf numFmtId="4" fontId="7" fillId="0" borderId="7" xfId="0" applyNumberFormat="1" applyFont="1" applyBorder="1" applyAlignment="1">
      <alignment horizontal="right" vertical="center" wrapText="1"/>
    </xf>
    <xf numFmtId="4" fontId="7" fillId="0" borderId="7" xfId="0" applyNumberFormat="1" applyFont="1" applyFill="1" applyBorder="1" applyAlignment="1">
      <alignment horizontal="right" vertical="center" wrapText="1"/>
    </xf>
    <xf numFmtId="4" fontId="7" fillId="0" borderId="7" xfId="0" applyNumberFormat="1" applyFont="1" applyFill="1" applyBorder="1" applyAlignment="1">
      <alignment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vertical="center" wrapText="1"/>
    </xf>
    <xf numFmtId="0" fontId="7" fillId="0" borderId="7" xfId="0" applyFont="1" applyBorder="1" applyAlignment="1">
      <alignment horizontal="left" vertical="center" wrapText="1"/>
    </xf>
    <xf numFmtId="0" fontId="4" fillId="0" borderId="3" xfId="0" applyFont="1" applyBorder="1" applyAlignment="1">
      <alignment horizontal="left" vertical="center" wrapText="1"/>
    </xf>
    <xf numFmtId="4" fontId="4" fillId="0" borderId="1" xfId="0" applyNumberFormat="1" applyFont="1" applyBorder="1" applyAlignment="1">
      <alignment horizontal="right" vertical="center" wrapText="1"/>
    </xf>
    <xf numFmtId="0" fontId="37" fillId="0" borderId="7" xfId="0" applyFont="1" applyBorder="1" applyAlignment="1">
      <alignment horizontal="center" vertical="center" wrapText="1"/>
    </xf>
    <xf numFmtId="0" fontId="37" fillId="0" borderId="7" xfId="0" applyFont="1" applyBorder="1" applyAlignment="1">
      <alignment vertical="center" wrapText="1"/>
    </xf>
    <xf numFmtId="0" fontId="37" fillId="0" borderId="7" xfId="0" applyFont="1" applyFill="1" applyBorder="1" applyAlignment="1">
      <alignment horizontal="center" vertical="center" wrapText="1"/>
    </xf>
    <xf numFmtId="4" fontId="37" fillId="0" borderId="7" xfId="0" applyNumberFormat="1" applyFont="1" applyBorder="1" applyAlignment="1">
      <alignment vertical="center" wrapText="1"/>
    </xf>
    <xf numFmtId="3" fontId="4" fillId="0" borderId="1" xfId="0" applyNumberFormat="1" applyFont="1" applyBorder="1" applyAlignment="1">
      <alignment horizontal="center" vertical="center" wrapText="1"/>
    </xf>
    <xf numFmtId="4" fontId="4"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wrapText="1"/>
    </xf>
    <xf numFmtId="4" fontId="4" fillId="0" borderId="1" xfId="0" applyNumberFormat="1" applyFont="1" applyFill="1" applyBorder="1" applyAlignment="1">
      <alignment vertical="center" wrapText="1"/>
    </xf>
    <xf numFmtId="0" fontId="37" fillId="0" borderId="7" xfId="0" applyFont="1" applyFill="1" applyBorder="1" applyAlignment="1">
      <alignment vertical="center" wrapText="1"/>
    </xf>
    <xf numFmtId="167" fontId="4" fillId="0" borderId="0" xfId="1"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67" fontId="4" fillId="0" borderId="0" xfId="1" applyNumberFormat="1" applyFont="1" applyBorder="1" applyAlignment="1">
      <alignment horizontal="center" vertical="center"/>
    </xf>
    <xf numFmtId="4" fontId="37" fillId="0" borderId="7" xfId="0" applyNumberFormat="1"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4" fontId="4" fillId="0" borderId="3"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4" fontId="4" fillId="0" borderId="3"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7" borderId="4" xfId="0" applyFont="1" applyFill="1" applyBorder="1" applyAlignment="1">
      <alignment horizontal="left" vertical="center" wrapText="1"/>
    </xf>
    <xf numFmtId="4" fontId="37" fillId="0" borderId="7" xfId="0" applyNumberFormat="1" applyFont="1" applyFill="1" applyBorder="1" applyAlignment="1">
      <alignment vertical="center" wrapText="1"/>
    </xf>
    <xf numFmtId="4" fontId="37" fillId="0" borderId="7" xfId="0" applyNumberFormat="1" applyFont="1" applyBorder="1" applyAlignment="1">
      <alignment horizontal="right" vertical="center" wrapText="1"/>
    </xf>
    <xf numFmtId="2" fontId="4" fillId="0" borderId="3" xfId="0" applyNumberFormat="1" applyFont="1" applyFill="1" applyBorder="1" applyAlignment="1">
      <alignment vertical="center" wrapText="1"/>
    </xf>
    <xf numFmtId="2" fontId="4" fillId="0" borderId="4" xfId="0" applyNumberFormat="1" applyFont="1" applyFill="1" applyBorder="1" applyAlignment="1">
      <alignment vertical="center" wrapText="1"/>
    </xf>
    <xf numFmtId="4" fontId="7" fillId="0" borderId="7" xfId="0" applyNumberFormat="1" applyFont="1" applyBorder="1" applyAlignment="1">
      <alignment horizontal="righ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14" fillId="0" borderId="0" xfId="3" applyFont="1" applyFill="1" applyBorder="1" applyAlignment="1" applyProtection="1">
      <alignment horizontal="left" vertical="center"/>
    </xf>
    <xf numFmtId="0" fontId="12" fillId="0" borderId="0" xfId="3" applyFont="1" applyFill="1" applyBorder="1" applyAlignment="1" applyProtection="1">
      <alignment horizontal="left" vertical="center"/>
    </xf>
    <xf numFmtId="0" fontId="13" fillId="0" borderId="0" xfId="0" applyFont="1" applyBorder="1" applyAlignment="1">
      <alignment horizontal="left" vertical="center"/>
    </xf>
    <xf numFmtId="4" fontId="4" fillId="0" borderId="3" xfId="0"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167" fontId="4" fillId="0" borderId="0" xfId="1"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2" fontId="4" fillId="0" borderId="7" xfId="0" applyNumberFormat="1" applyFont="1" applyFill="1" applyBorder="1" applyAlignment="1">
      <alignment horizontal="center" vertical="center" wrapText="1"/>
    </xf>
    <xf numFmtId="165" fontId="5" fillId="7" borderId="3" xfId="0" applyNumberFormat="1" applyFont="1" applyFill="1" applyBorder="1" applyAlignment="1">
      <alignment horizontal="left" vertical="center" wrapText="1"/>
    </xf>
    <xf numFmtId="165" fontId="5" fillId="7" borderId="6" xfId="0" applyNumberFormat="1" applyFont="1" applyFill="1" applyBorder="1" applyAlignment="1">
      <alignment horizontal="left" vertical="center" wrapText="1"/>
    </xf>
    <xf numFmtId="165" fontId="5" fillId="7" borderId="4" xfId="0" applyNumberFormat="1" applyFont="1" applyFill="1" applyBorder="1" applyAlignment="1">
      <alignment horizontal="left" vertical="center" wrapText="1"/>
    </xf>
    <xf numFmtId="4" fontId="37" fillId="0" borderId="7" xfId="0" applyNumberFormat="1" applyFont="1" applyBorder="1" applyAlignment="1">
      <alignment vertical="center" wrapText="1"/>
    </xf>
    <xf numFmtId="0" fontId="1" fillId="0" borderId="0" xfId="0" applyFont="1" applyAlignment="1">
      <alignment horizontal="center" vertical="center"/>
    </xf>
    <xf numFmtId="4" fontId="3" fillId="6" borderId="3" xfId="0" applyNumberFormat="1" applyFont="1" applyFill="1" applyBorder="1" applyAlignment="1">
      <alignment horizontal="center" vertical="center" wrapText="1"/>
    </xf>
    <xf numFmtId="4" fontId="3" fillId="6" borderId="4" xfId="0" applyNumberFormat="1" applyFont="1" applyFill="1" applyBorder="1" applyAlignment="1">
      <alignment horizontal="center" vertical="center" wrapText="1"/>
    </xf>
    <xf numFmtId="10" fontId="36" fillId="0" borderId="7" xfId="0" applyNumberFormat="1" applyFont="1" applyBorder="1" applyAlignment="1">
      <alignment horizontal="center" vertical="center"/>
    </xf>
    <xf numFmtId="0" fontId="3" fillId="6" borderId="7" xfId="0" applyFont="1" applyFill="1"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center" vertical="center"/>
    </xf>
    <xf numFmtId="0" fontId="35" fillId="6" borderId="7" xfId="0" applyFont="1" applyFill="1" applyBorder="1" applyAlignment="1">
      <alignment horizontal="center" vertical="center"/>
    </xf>
    <xf numFmtId="0" fontId="3" fillId="6" borderId="7" xfId="0" applyFont="1" applyFill="1" applyBorder="1" applyAlignment="1">
      <alignment horizontal="right" vertical="center"/>
    </xf>
    <xf numFmtId="0" fontId="36" fillId="0" borderId="7" xfId="0" applyFont="1" applyBorder="1" applyAlignment="1">
      <alignment horizontal="left" vertical="center"/>
    </xf>
    <xf numFmtId="0" fontId="36" fillId="0" borderId="3" xfId="0" applyFont="1" applyBorder="1" applyAlignment="1">
      <alignment horizontal="left" vertical="center"/>
    </xf>
    <xf numFmtId="0" fontId="36" fillId="0" borderId="6" xfId="0" applyFont="1" applyBorder="1" applyAlignment="1">
      <alignment horizontal="left" vertical="center"/>
    </xf>
    <xf numFmtId="0" fontId="36" fillId="0" borderId="4" xfId="0" applyFont="1" applyBorder="1" applyAlignment="1">
      <alignment horizontal="left" vertical="center"/>
    </xf>
    <xf numFmtId="0" fontId="18" fillId="0" borderId="0" xfId="0" applyFont="1" applyAlignment="1">
      <alignment horizontal="left" vertical="center" wrapText="1"/>
    </xf>
    <xf numFmtId="0" fontId="0" fillId="0" borderId="0" xfId="0" applyFont="1" applyAlignment="1"/>
    <xf numFmtId="0" fontId="8" fillId="0" borderId="0" xfId="0" applyFont="1" applyAlignment="1">
      <alignment horizontal="center" vertical="center"/>
    </xf>
    <xf numFmtId="0" fontId="18" fillId="0" borderId="0" xfId="0" applyFont="1" applyAlignment="1">
      <alignment horizontal="center"/>
    </xf>
    <xf numFmtId="0" fontId="23" fillId="0" borderId="9" xfId="0" applyFont="1" applyBorder="1" applyAlignment="1">
      <alignment horizontal="center" vertical="center"/>
    </xf>
    <xf numFmtId="0" fontId="8" fillId="0" borderId="9" xfId="0" applyFont="1" applyBorder="1"/>
    <xf numFmtId="0" fontId="18" fillId="0" borderId="0" xfId="0" applyFont="1" applyAlignment="1">
      <alignment horizontal="center" vertical="center"/>
    </xf>
    <xf numFmtId="168" fontId="25" fillId="3" borderId="16" xfId="0" applyNumberFormat="1" applyFont="1" applyFill="1" applyBorder="1" applyAlignment="1">
      <alignment horizontal="left" vertical="center" wrapText="1"/>
    </xf>
    <xf numFmtId="0" fontId="8" fillId="0" borderId="17" xfId="0" applyFont="1" applyBorder="1"/>
    <xf numFmtId="0" fontId="8" fillId="0" borderId="18" xfId="0" applyFont="1" applyBorder="1"/>
    <xf numFmtId="0" fontId="8" fillId="4" borderId="20" xfId="0" applyFont="1" applyFill="1" applyBorder="1" applyAlignment="1">
      <alignment horizontal="left" vertical="top" wrapText="1"/>
    </xf>
    <xf numFmtId="0" fontId="8" fillId="0" borderId="21" xfId="0" applyFont="1" applyBorder="1"/>
    <xf numFmtId="0" fontId="8" fillId="0" borderId="22" xfId="0" applyFont="1" applyBorder="1"/>
    <xf numFmtId="0" fontId="18" fillId="3" borderId="16"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8" fillId="0" borderId="0" xfId="0" applyFont="1" applyAlignment="1">
      <alignment horizontal="left" vertical="center" wrapText="1"/>
    </xf>
    <xf numFmtId="10" fontId="25" fillId="3" borderId="16" xfId="0" applyNumberFormat="1" applyFont="1" applyFill="1" applyBorder="1" applyAlignment="1">
      <alignment horizontal="center" vertical="center" wrapText="1"/>
    </xf>
    <xf numFmtId="0" fontId="8" fillId="0" borderId="24" xfId="0" applyFont="1" applyBorder="1" applyAlignment="1">
      <alignment horizontal="center"/>
    </xf>
    <xf numFmtId="0" fontId="8" fillId="0" borderId="24" xfId="0" applyFont="1" applyBorder="1"/>
    <xf numFmtId="0" fontId="18" fillId="0" borderId="24" xfId="0" applyFont="1" applyBorder="1" applyAlignment="1">
      <alignment horizontal="center" vertical="center"/>
    </xf>
    <xf numFmtId="10" fontId="28" fillId="0" borderId="0" xfId="0" applyNumberFormat="1" applyFont="1" applyAlignment="1">
      <alignment horizontal="center"/>
    </xf>
    <xf numFmtId="0" fontId="32" fillId="0" borderId="8" xfId="0" applyFont="1" applyBorder="1" applyAlignment="1">
      <alignment horizontal="center"/>
    </xf>
    <xf numFmtId="0" fontId="8" fillId="0" borderId="10" xfId="0" applyFont="1" applyBorder="1"/>
    <xf numFmtId="0" fontId="31" fillId="0" borderId="0" xfId="0" applyFont="1" applyAlignment="1">
      <alignment vertical="center" wrapText="1"/>
    </xf>
    <xf numFmtId="10" fontId="24" fillId="4" borderId="29" xfId="0" applyNumberFormat="1" applyFont="1" applyFill="1" applyBorder="1" applyAlignment="1">
      <alignment horizontal="center" vertical="center"/>
    </xf>
    <xf numFmtId="0" fontId="8" fillId="0" borderId="30" xfId="0" applyFont="1" applyBorder="1"/>
    <xf numFmtId="0" fontId="18" fillId="0" borderId="11" xfId="0" applyFont="1" applyBorder="1" applyAlignment="1">
      <alignment horizontal="center"/>
    </xf>
    <xf numFmtId="0" fontId="8" fillId="0" borderId="12" xfId="0" applyFont="1" applyBorder="1"/>
    <xf numFmtId="0" fontId="8" fillId="0" borderId="13" xfId="0" applyFont="1" applyBorder="1"/>
    <xf numFmtId="0" fontId="8" fillId="0" borderId="14" xfId="0" applyFont="1" applyBorder="1" applyAlignment="1">
      <alignment horizontal="left" wrapText="1"/>
    </xf>
    <xf numFmtId="0" fontId="8" fillId="0" borderId="15" xfId="0" applyFont="1" applyBorder="1"/>
  </cellXfs>
  <cellStyles count="10">
    <cellStyle name="Moeda 2" xfId="8" xr:uid="{BF2365B3-5A7C-4FBB-ACA1-85A1B5F1D079}"/>
    <cellStyle name="Moeda 3" xfId="6" xr:uid="{D217CC24-AC19-4D8F-B823-0C5481242615}"/>
    <cellStyle name="Normal" xfId="0" builtinId="0"/>
    <cellStyle name="Normal 2" xfId="7" xr:uid="{35E30733-52F9-4024-B91F-E79DCA7EA6C2}"/>
    <cellStyle name="Normal_24DefProposta de construção de unidade isolada- v23" xfId="3" xr:uid="{00000000-0005-0000-0000-000002000000}"/>
    <cellStyle name="Normal_LAE-OGU" xfId="4" xr:uid="{00000000-0005-0000-0000-000003000000}"/>
    <cellStyle name="Porcentagem" xfId="2" builtinId="5"/>
    <cellStyle name="Porcentagem 2" xfId="9" xr:uid="{9BC7FDCB-F950-436B-9D23-8DA13B15C5D8}"/>
    <cellStyle name="Vírgula" xfId="1" builtinId="3"/>
    <cellStyle name="Vírgula 2" xfId="5" xr:uid="{71978CC4-7EBD-4C0A-ACF8-4E618B667B8E}"/>
  </cellStyles>
  <dxfs count="13">
    <dxf>
      <font>
        <color rgb="FFFF0000"/>
      </font>
      <fill>
        <patternFill patternType="none"/>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FFFF"/>
      </font>
      <fill>
        <patternFill patternType="solid">
          <fgColor rgb="FFFFFFFF"/>
          <bgColor rgb="FFFFFFFF"/>
        </patternFill>
      </fill>
      <border>
        <left/>
        <right/>
        <top/>
        <bottom/>
      </border>
    </dxf>
    <dxf>
      <font>
        <color rgb="FFFF0000"/>
      </font>
      <fill>
        <patternFill patternType="solid">
          <fgColor rgb="FFFFCC00"/>
          <bgColor rgb="FFFFCC00"/>
        </patternFill>
      </fill>
      <border>
        <left/>
        <right/>
        <top/>
        <bottom/>
      </border>
    </dxf>
    <dxf>
      <font>
        <color rgb="FFFFFFFF"/>
      </font>
      <fill>
        <patternFill patternType="none"/>
      </fill>
      <border>
        <left/>
        <right/>
        <top/>
        <bottom/>
      </border>
    </dxf>
    <dxf>
      <font>
        <color rgb="FF339966"/>
      </font>
      <fill>
        <patternFill patternType="solid">
          <fgColor rgb="FFFFFFCC"/>
          <bgColor rgb="FFFFFFCC"/>
        </patternFill>
      </fill>
      <border>
        <left/>
        <right/>
        <top/>
        <bottom/>
      </border>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
      <font>
        <b val="0"/>
        <condense val="0"/>
        <extend val="0"/>
        <color indexed="9"/>
      </font>
    </dxf>
    <dxf>
      <font>
        <b val="0"/>
        <condense val="0"/>
        <extend val="0"/>
        <color indexed="9"/>
      </font>
      <fill>
        <patternFill patternType="solid">
          <fgColor indexed="64"/>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AH235"/>
  <sheetViews>
    <sheetView showGridLines="0" tabSelected="1" topLeftCell="A16" zoomScale="70" zoomScaleNormal="70" zoomScaleSheetLayoutView="70" workbookViewId="0">
      <selection activeCell="O28" sqref="O28"/>
    </sheetView>
  </sheetViews>
  <sheetFormatPr defaultRowHeight="15" x14ac:dyDescent="0.25"/>
  <cols>
    <col min="1" max="1" width="9.140625" style="4"/>
    <col min="2" max="2" width="11.5703125" style="1" customWidth="1"/>
    <col min="3" max="3" width="18.5703125" style="1" bestFit="1" customWidth="1"/>
    <col min="4" max="4" width="45.7109375" style="119" customWidth="1"/>
    <col min="5" max="5" width="5.85546875" style="1" customWidth="1"/>
    <col min="6" max="6" width="5.42578125" style="120" customWidth="1"/>
    <col min="7" max="7" width="6" style="120" customWidth="1"/>
    <col min="8" max="8" width="15.28515625" style="120" bestFit="1" customWidth="1"/>
    <col min="9" max="9" width="15.28515625" style="120" customWidth="1"/>
    <col min="10" max="10" width="12.28515625" style="121" bestFit="1" customWidth="1"/>
    <col min="11" max="11" width="14.7109375" style="91" customWidth="1"/>
    <col min="12" max="12" width="9.140625" style="90"/>
    <col min="13" max="16384" width="9.140625" style="4"/>
  </cols>
  <sheetData>
    <row r="1" spans="2:12" ht="15" customHeight="1" x14ac:dyDescent="0.25">
      <c r="B1" s="205"/>
      <c r="C1" s="205"/>
      <c r="D1" s="205"/>
      <c r="E1" s="205"/>
      <c r="F1" s="205"/>
      <c r="G1" s="205"/>
      <c r="H1" s="205"/>
      <c r="I1" s="205"/>
      <c r="J1" s="205"/>
    </row>
    <row r="2" spans="2:12" ht="15" customHeight="1" x14ac:dyDescent="0.25">
      <c r="B2" s="205"/>
      <c r="C2" s="205"/>
      <c r="D2" s="205"/>
      <c r="E2" s="205"/>
      <c r="F2" s="205"/>
      <c r="G2" s="205"/>
      <c r="H2" s="205"/>
      <c r="I2" s="205"/>
      <c r="J2" s="205"/>
    </row>
    <row r="3" spans="2:12" ht="15" customHeight="1" x14ac:dyDescent="0.25">
      <c r="B3" s="205"/>
      <c r="C3" s="205"/>
      <c r="D3" s="205"/>
      <c r="E3" s="205"/>
      <c r="F3" s="205"/>
      <c r="G3" s="205"/>
      <c r="H3" s="205"/>
      <c r="I3" s="205"/>
      <c r="J3" s="205"/>
    </row>
    <row r="4" spans="2:12" ht="11.25" customHeight="1" x14ac:dyDescent="0.25">
      <c r="B4" s="210"/>
      <c r="C4" s="210"/>
      <c r="D4" s="210"/>
      <c r="E4" s="210"/>
      <c r="F4" s="210"/>
      <c r="G4" s="210"/>
      <c r="H4" s="210"/>
      <c r="I4" s="210"/>
      <c r="J4" s="210"/>
    </row>
    <row r="5" spans="2:12" x14ac:dyDescent="0.25">
      <c r="B5" s="106"/>
      <c r="C5" s="106"/>
      <c r="D5" s="106"/>
      <c r="E5" s="106"/>
      <c r="F5" s="106"/>
      <c r="G5" s="106"/>
      <c r="H5" s="106"/>
      <c r="I5" s="106"/>
      <c r="J5" s="106"/>
    </row>
    <row r="6" spans="2:12" ht="15" customHeight="1" x14ac:dyDescent="0.25">
      <c r="B6" s="106"/>
      <c r="C6" s="106"/>
      <c r="D6" s="106"/>
      <c r="E6" s="106"/>
      <c r="F6" s="106"/>
      <c r="G6" s="106"/>
      <c r="H6" s="106"/>
      <c r="I6" s="106"/>
      <c r="J6" s="106"/>
    </row>
    <row r="7" spans="2:12" ht="15" customHeight="1" x14ac:dyDescent="0.25">
      <c r="B7" s="106"/>
      <c r="C7" s="106"/>
      <c r="D7" s="106"/>
      <c r="E7" s="106"/>
      <c r="F7" s="106"/>
      <c r="G7" s="106"/>
      <c r="H7" s="106"/>
      <c r="I7" s="106"/>
      <c r="J7" s="106"/>
    </row>
    <row r="8" spans="2:12" ht="15" customHeight="1" x14ac:dyDescent="0.25">
      <c r="B8" s="106"/>
      <c r="C8" s="106"/>
      <c r="D8" s="106"/>
      <c r="E8" s="106"/>
      <c r="F8" s="106"/>
      <c r="G8" s="106"/>
      <c r="H8" s="106"/>
      <c r="I8" s="106"/>
      <c r="J8" s="106"/>
    </row>
    <row r="9" spans="2:12" x14ac:dyDescent="0.25">
      <c r="B9" s="106"/>
      <c r="C9" s="106"/>
      <c r="D9" s="106"/>
      <c r="E9" s="106"/>
      <c r="F9" s="106"/>
      <c r="G9" s="106"/>
      <c r="H9" s="106"/>
      <c r="I9" s="106"/>
      <c r="J9" s="106"/>
    </row>
    <row r="10" spans="2:12" x14ac:dyDescent="0.25">
      <c r="B10" s="106"/>
      <c r="C10" s="106"/>
      <c r="D10" s="106"/>
      <c r="E10" s="106"/>
      <c r="F10" s="106"/>
      <c r="G10" s="106"/>
      <c r="H10" s="106"/>
      <c r="I10" s="106"/>
      <c r="J10" s="106"/>
    </row>
    <row r="11" spans="2:12" ht="15" customHeight="1" x14ac:dyDescent="0.25">
      <c r="B11" s="106"/>
      <c r="C11" s="106"/>
      <c r="D11" s="106"/>
      <c r="E11" s="106"/>
      <c r="F11" s="106"/>
      <c r="G11" s="106"/>
      <c r="H11" s="106"/>
      <c r="I11" s="106"/>
      <c r="J11" s="106"/>
    </row>
    <row r="12" spans="2:12" ht="33.75" customHeight="1" x14ac:dyDescent="0.25">
      <c r="B12" s="106"/>
      <c r="C12" s="106"/>
      <c r="D12" s="106"/>
      <c r="E12" s="106"/>
      <c r="F12" s="106"/>
      <c r="G12" s="106"/>
      <c r="H12" s="106"/>
      <c r="I12" s="106"/>
      <c r="J12" s="106"/>
    </row>
    <row r="13" spans="2:12" x14ac:dyDescent="0.25">
      <c r="B13" s="106"/>
      <c r="C13" s="106"/>
      <c r="D13" s="106"/>
      <c r="E13" s="106"/>
      <c r="F13" s="106"/>
      <c r="G13" s="106"/>
      <c r="H13" s="106"/>
      <c r="I13" s="106"/>
      <c r="J13" s="106"/>
    </row>
    <row r="14" spans="2:12" ht="33.75" customHeight="1" x14ac:dyDescent="0.25">
      <c r="B14" s="212" t="s">
        <v>11</v>
      </c>
      <c r="C14" s="212"/>
      <c r="D14" s="212"/>
      <c r="E14" s="212"/>
      <c r="F14" s="212"/>
      <c r="G14" s="212"/>
      <c r="H14" s="212"/>
      <c r="I14" s="212"/>
      <c r="J14" s="212"/>
    </row>
    <row r="15" spans="2:12" ht="15.75" x14ac:dyDescent="0.25">
      <c r="B15" s="213" t="s">
        <v>19</v>
      </c>
      <c r="C15" s="213"/>
      <c r="D15" s="215" t="s">
        <v>246</v>
      </c>
      <c r="E15" s="216"/>
      <c r="F15" s="216"/>
      <c r="G15" s="216"/>
      <c r="H15" s="216"/>
      <c r="I15" s="216"/>
      <c r="J15" s="217"/>
    </row>
    <row r="16" spans="2:12" ht="15.75" customHeight="1" x14ac:dyDescent="0.25">
      <c r="B16" s="213" t="s">
        <v>0</v>
      </c>
      <c r="C16" s="213"/>
      <c r="D16" s="214"/>
      <c r="E16" s="214"/>
      <c r="F16" s="214"/>
      <c r="G16" s="214"/>
      <c r="H16" s="214"/>
      <c r="I16" s="214"/>
      <c r="J16" s="214"/>
      <c r="K16" s="92">
        <f t="shared" ref="K16:K47" si="0">$J$123</f>
        <v>0</v>
      </c>
      <c r="L16" s="90">
        <f>$D$19+1</f>
        <v>1.25</v>
      </c>
    </row>
    <row r="17" spans="2:15" ht="15.75" customHeight="1" x14ac:dyDescent="0.25">
      <c r="B17" s="213" t="s">
        <v>1</v>
      </c>
      <c r="C17" s="213"/>
      <c r="D17" s="214" t="s">
        <v>245</v>
      </c>
      <c r="E17" s="214"/>
      <c r="F17" s="214"/>
      <c r="G17" s="214"/>
      <c r="H17" s="214"/>
      <c r="I17" s="214"/>
      <c r="J17" s="214"/>
      <c r="K17" s="92">
        <f t="shared" si="0"/>
        <v>0</v>
      </c>
      <c r="L17" s="90">
        <f t="shared" ref="L17:L77" si="1">$D$19+1</f>
        <v>1.25</v>
      </c>
    </row>
    <row r="18" spans="2:15" ht="15.75" customHeight="1" x14ac:dyDescent="0.25">
      <c r="B18" s="213" t="s">
        <v>2</v>
      </c>
      <c r="C18" s="213"/>
      <c r="D18" s="122" t="s">
        <v>247</v>
      </c>
      <c r="E18" s="209" t="s">
        <v>22</v>
      </c>
      <c r="F18" s="209"/>
      <c r="G18" s="209"/>
      <c r="H18" s="208"/>
      <c r="I18" s="208"/>
      <c r="J18" s="208"/>
      <c r="K18" s="92">
        <f t="shared" si="0"/>
        <v>0</v>
      </c>
      <c r="L18" s="90">
        <f t="shared" si="1"/>
        <v>1.25</v>
      </c>
    </row>
    <row r="19" spans="2:15" ht="15.75" x14ac:dyDescent="0.25">
      <c r="B19" s="213" t="s">
        <v>3</v>
      </c>
      <c r="C19" s="213"/>
      <c r="D19" s="100">
        <v>0.25</v>
      </c>
      <c r="E19" s="209" t="s">
        <v>5</v>
      </c>
      <c r="F19" s="209"/>
      <c r="G19" s="209"/>
      <c r="H19" s="208">
        <v>0.90210000000000001</v>
      </c>
      <c r="I19" s="208"/>
      <c r="J19" s="208"/>
      <c r="K19" s="92">
        <f t="shared" si="0"/>
        <v>0</v>
      </c>
      <c r="L19" s="90">
        <f t="shared" si="1"/>
        <v>1.25</v>
      </c>
    </row>
    <row r="20" spans="2:15" ht="15.75" x14ac:dyDescent="0.25">
      <c r="B20" s="213" t="s">
        <v>4</v>
      </c>
      <c r="C20" s="213"/>
      <c r="D20" s="101" t="s">
        <v>10</v>
      </c>
      <c r="E20" s="209" t="s">
        <v>161</v>
      </c>
      <c r="F20" s="209"/>
      <c r="G20" s="209"/>
      <c r="H20" s="208" t="s">
        <v>336</v>
      </c>
      <c r="I20" s="208"/>
      <c r="J20" s="208"/>
      <c r="K20" s="92">
        <f t="shared" si="0"/>
        <v>0</v>
      </c>
      <c r="L20" s="90">
        <f t="shared" si="1"/>
        <v>1.25</v>
      </c>
    </row>
    <row r="21" spans="2:15" ht="15.75" x14ac:dyDescent="0.25">
      <c r="B21" s="211"/>
      <c r="C21" s="211"/>
      <c r="D21" s="211"/>
      <c r="E21" s="211"/>
      <c r="F21" s="211"/>
      <c r="G21" s="211"/>
      <c r="H21" s="211"/>
      <c r="I21" s="211"/>
      <c r="J21" s="211"/>
      <c r="K21" s="92">
        <f t="shared" si="0"/>
        <v>0</v>
      </c>
      <c r="L21" s="90">
        <f t="shared" si="1"/>
        <v>1.25</v>
      </c>
    </row>
    <row r="22" spans="2:15" s="1" customFormat="1" ht="31.5" x14ac:dyDescent="0.25">
      <c r="B22" s="129" t="s">
        <v>21</v>
      </c>
      <c r="C22" s="129" t="s">
        <v>6</v>
      </c>
      <c r="D22" s="130" t="s">
        <v>7</v>
      </c>
      <c r="E22" s="129" t="s">
        <v>8</v>
      </c>
      <c r="F22" s="206" t="s">
        <v>24</v>
      </c>
      <c r="G22" s="207"/>
      <c r="H22" s="131" t="s">
        <v>310</v>
      </c>
      <c r="I22" s="131" t="s">
        <v>23</v>
      </c>
      <c r="J22" s="131" t="s">
        <v>9</v>
      </c>
      <c r="K22" s="92">
        <f t="shared" si="0"/>
        <v>0</v>
      </c>
      <c r="L22" s="90">
        <f t="shared" si="1"/>
        <v>1.25</v>
      </c>
    </row>
    <row r="23" spans="2:15" s="102" customFormat="1" ht="15.75" x14ac:dyDescent="0.25">
      <c r="B23" s="132" t="s">
        <v>13</v>
      </c>
      <c r="C23" s="133" t="s">
        <v>148</v>
      </c>
      <c r="D23" s="174" t="s">
        <v>149</v>
      </c>
      <c r="E23" s="175"/>
      <c r="F23" s="175"/>
      <c r="G23" s="175"/>
      <c r="H23" s="175"/>
      <c r="I23" s="175"/>
      <c r="J23" s="176"/>
      <c r="K23" s="92">
        <f t="shared" si="0"/>
        <v>0</v>
      </c>
      <c r="L23" s="90">
        <f t="shared" si="1"/>
        <v>1.25</v>
      </c>
    </row>
    <row r="24" spans="2:15" ht="31.5" x14ac:dyDescent="0.25">
      <c r="B24" s="134" t="s">
        <v>248</v>
      </c>
      <c r="C24" s="135" t="s">
        <v>146</v>
      </c>
      <c r="D24" s="136" t="s">
        <v>337</v>
      </c>
      <c r="E24" s="137" t="s">
        <v>147</v>
      </c>
      <c r="F24" s="179">
        <v>2.88</v>
      </c>
      <c r="G24" s="180"/>
      <c r="H24" s="160"/>
      <c r="I24" s="160">
        <f>H24*L19</f>
        <v>0</v>
      </c>
      <c r="J24" s="138">
        <f>TRUNC(I24*F24,2)</f>
        <v>0</v>
      </c>
      <c r="K24" s="92">
        <f t="shared" si="0"/>
        <v>0</v>
      </c>
      <c r="L24" s="90">
        <f t="shared" si="1"/>
        <v>1.25</v>
      </c>
    </row>
    <row r="25" spans="2:15" ht="15.75" x14ac:dyDescent="0.25">
      <c r="B25" s="182"/>
      <c r="C25" s="183"/>
      <c r="D25" s="183"/>
      <c r="E25" s="183"/>
      <c r="F25" s="183"/>
      <c r="G25" s="184"/>
      <c r="H25" s="172" t="s">
        <v>20</v>
      </c>
      <c r="I25" s="173"/>
      <c r="J25" s="138">
        <f>TRUNC(SUM(J24:J24),2)</f>
        <v>0</v>
      </c>
      <c r="K25" s="92">
        <f t="shared" si="0"/>
        <v>0</v>
      </c>
      <c r="L25" s="90">
        <f t="shared" si="1"/>
        <v>1.25</v>
      </c>
    </row>
    <row r="26" spans="2:15" ht="15.75" x14ac:dyDescent="0.25">
      <c r="B26" s="132" t="s">
        <v>25</v>
      </c>
      <c r="C26" s="133" t="s">
        <v>170</v>
      </c>
      <c r="D26" s="174" t="s">
        <v>162</v>
      </c>
      <c r="E26" s="175"/>
      <c r="F26" s="175"/>
      <c r="G26" s="175"/>
      <c r="H26" s="175"/>
      <c r="I26" s="175"/>
      <c r="J26" s="176"/>
      <c r="K26" s="92">
        <f t="shared" si="0"/>
        <v>0</v>
      </c>
      <c r="L26" s="90">
        <f t="shared" si="1"/>
        <v>1.25</v>
      </c>
    </row>
    <row r="27" spans="2:15" ht="47.25" x14ac:dyDescent="0.25">
      <c r="B27" s="140" t="s">
        <v>167</v>
      </c>
      <c r="C27" s="141" t="s">
        <v>163</v>
      </c>
      <c r="D27" s="142" t="s">
        <v>164</v>
      </c>
      <c r="E27" s="143" t="s">
        <v>147</v>
      </c>
      <c r="F27" s="181">
        <f>F57</f>
        <v>105</v>
      </c>
      <c r="G27" s="181"/>
      <c r="H27" s="144"/>
      <c r="I27" s="145">
        <f>H27*L27</f>
        <v>0</v>
      </c>
      <c r="J27" s="138">
        <f>TRUNC(I27*F27,2)</f>
        <v>0</v>
      </c>
      <c r="K27" s="92">
        <f t="shared" si="0"/>
        <v>0</v>
      </c>
      <c r="L27" s="90">
        <f t="shared" si="1"/>
        <v>1.25</v>
      </c>
    </row>
    <row r="28" spans="2:15" ht="47.25" x14ac:dyDescent="0.25">
      <c r="B28" s="140" t="s">
        <v>168</v>
      </c>
      <c r="C28" s="143" t="s">
        <v>165</v>
      </c>
      <c r="D28" s="147" t="s">
        <v>166</v>
      </c>
      <c r="E28" s="148" t="s">
        <v>147</v>
      </c>
      <c r="F28" s="181">
        <f>2*15</f>
        <v>30</v>
      </c>
      <c r="G28" s="181"/>
      <c r="H28" s="145"/>
      <c r="I28" s="145">
        <f>H28*L28</f>
        <v>0</v>
      </c>
      <c r="J28" s="138">
        <f t="shared" ref="J28:J30" si="2">TRUNC(I28*F28,2)</f>
        <v>0</v>
      </c>
      <c r="K28" s="92">
        <f t="shared" si="0"/>
        <v>0</v>
      </c>
      <c r="L28" s="90">
        <f t="shared" si="1"/>
        <v>1.25</v>
      </c>
    </row>
    <row r="29" spans="2:15" ht="31.5" x14ac:dyDescent="0.25">
      <c r="B29" s="140" t="s">
        <v>169</v>
      </c>
      <c r="C29" s="143" t="s">
        <v>214</v>
      </c>
      <c r="D29" s="147" t="s">
        <v>213</v>
      </c>
      <c r="E29" s="148" t="s">
        <v>147</v>
      </c>
      <c r="F29" s="181">
        <f>F40*(0.8*2.1)</f>
        <v>129.36000000000001</v>
      </c>
      <c r="G29" s="181"/>
      <c r="H29" s="145"/>
      <c r="I29" s="145">
        <f>H29*L29</f>
        <v>0</v>
      </c>
      <c r="J29" s="138">
        <f t="shared" si="2"/>
        <v>0</v>
      </c>
      <c r="K29" s="92">
        <f t="shared" si="0"/>
        <v>0</v>
      </c>
      <c r="L29" s="90">
        <f t="shared" si="1"/>
        <v>1.25</v>
      </c>
    </row>
    <row r="30" spans="2:15" ht="47.25" x14ac:dyDescent="0.25">
      <c r="B30" s="140" t="s">
        <v>216</v>
      </c>
      <c r="C30" s="143" t="s">
        <v>215</v>
      </c>
      <c r="D30" s="147" t="s">
        <v>344</v>
      </c>
      <c r="E30" s="148" t="s">
        <v>147</v>
      </c>
      <c r="F30" s="181">
        <f>F41+F42</f>
        <v>57.519999999999996</v>
      </c>
      <c r="G30" s="181"/>
      <c r="H30" s="145"/>
      <c r="I30" s="145">
        <f>H30*L30</f>
        <v>0</v>
      </c>
      <c r="J30" s="138">
        <f t="shared" si="2"/>
        <v>0</v>
      </c>
      <c r="K30" s="92">
        <f t="shared" si="0"/>
        <v>0</v>
      </c>
      <c r="L30" s="90">
        <f t="shared" si="1"/>
        <v>1.25</v>
      </c>
    </row>
    <row r="31" spans="2:15" ht="15.75" x14ac:dyDescent="0.25">
      <c r="B31" s="185"/>
      <c r="C31" s="186"/>
      <c r="D31" s="186"/>
      <c r="E31" s="186"/>
      <c r="F31" s="186"/>
      <c r="G31" s="187"/>
      <c r="H31" s="188" t="s">
        <v>20</v>
      </c>
      <c r="I31" s="189"/>
      <c r="J31" s="146">
        <f>TRUNC(SUM(J27:J30),2)</f>
        <v>0</v>
      </c>
      <c r="K31" s="92">
        <f t="shared" si="0"/>
        <v>0</v>
      </c>
      <c r="L31" s="90">
        <f t="shared" si="1"/>
        <v>1.25</v>
      </c>
    </row>
    <row r="32" spans="2:15" ht="15.75" x14ac:dyDescent="0.25">
      <c r="B32" s="132" t="s">
        <v>14</v>
      </c>
      <c r="C32" s="133" t="s">
        <v>171</v>
      </c>
      <c r="D32" s="174" t="s">
        <v>369</v>
      </c>
      <c r="E32" s="175"/>
      <c r="F32" s="175"/>
      <c r="G32" s="175"/>
      <c r="H32" s="175"/>
      <c r="I32" s="175"/>
      <c r="J32" s="176"/>
      <c r="K32" s="92">
        <f t="shared" si="0"/>
        <v>0</v>
      </c>
      <c r="L32" s="90">
        <f t="shared" si="1"/>
        <v>1.25</v>
      </c>
      <c r="O32" s="4" t="s">
        <v>97</v>
      </c>
    </row>
    <row r="33" spans="2:12" ht="47.25" x14ac:dyDescent="0.25">
      <c r="B33" s="140" t="s">
        <v>183</v>
      </c>
      <c r="C33" s="141" t="s">
        <v>172</v>
      </c>
      <c r="D33" s="142" t="s">
        <v>173</v>
      </c>
      <c r="E33" s="143" t="s">
        <v>147</v>
      </c>
      <c r="F33" s="181">
        <f>0.6*0.6*2*20</f>
        <v>14.399999999999999</v>
      </c>
      <c r="G33" s="181"/>
      <c r="H33" s="144"/>
      <c r="I33" s="145">
        <f>H33*L33</f>
        <v>0</v>
      </c>
      <c r="J33" s="138">
        <f>TRUNC(I33*F33,2)</f>
        <v>0</v>
      </c>
      <c r="K33" s="92">
        <f t="shared" si="0"/>
        <v>0</v>
      </c>
      <c r="L33" s="90">
        <f t="shared" si="1"/>
        <v>1.25</v>
      </c>
    </row>
    <row r="34" spans="2:12" ht="63" x14ac:dyDescent="0.25">
      <c r="B34" s="140" t="s">
        <v>184</v>
      </c>
      <c r="C34" s="148" t="s">
        <v>174</v>
      </c>
      <c r="D34" s="147" t="s">
        <v>175</v>
      </c>
      <c r="E34" s="143" t="s">
        <v>176</v>
      </c>
      <c r="F34" s="181">
        <f>(F33+F36)*0.06</f>
        <v>13.001399999999999</v>
      </c>
      <c r="G34" s="181"/>
      <c r="H34" s="144"/>
      <c r="I34" s="145">
        <f>H34*L34</f>
        <v>0</v>
      </c>
      <c r="J34" s="138">
        <f t="shared" ref="J34:J37" si="3">TRUNC(I34*F34,2)</f>
        <v>0</v>
      </c>
      <c r="K34" s="92">
        <f t="shared" si="0"/>
        <v>0</v>
      </c>
      <c r="L34" s="90">
        <f t="shared" si="1"/>
        <v>1.25</v>
      </c>
    </row>
    <row r="35" spans="2:12" ht="31.5" x14ac:dyDescent="0.25">
      <c r="B35" s="149" t="s">
        <v>185</v>
      </c>
      <c r="C35" s="148" t="s">
        <v>177</v>
      </c>
      <c r="D35" s="147" t="s">
        <v>178</v>
      </c>
      <c r="E35" s="143" t="s">
        <v>176</v>
      </c>
      <c r="F35" s="181">
        <f>F34</f>
        <v>13.001399999999999</v>
      </c>
      <c r="G35" s="181"/>
      <c r="H35" s="144"/>
      <c r="I35" s="145">
        <f>H35*L35</f>
        <v>0</v>
      </c>
      <c r="J35" s="138">
        <f t="shared" si="3"/>
        <v>0</v>
      </c>
      <c r="K35" s="92">
        <f t="shared" si="0"/>
        <v>0</v>
      </c>
      <c r="L35" s="90">
        <f t="shared" si="1"/>
        <v>1.25</v>
      </c>
    </row>
    <row r="36" spans="2:12" ht="63" x14ac:dyDescent="0.25">
      <c r="B36" s="149" t="s">
        <v>186</v>
      </c>
      <c r="C36" s="143" t="s">
        <v>179</v>
      </c>
      <c r="D36" s="151" t="s">
        <v>180</v>
      </c>
      <c r="E36" s="148" t="s">
        <v>147</v>
      </c>
      <c r="F36" s="181">
        <f>41.66*4+35.65</f>
        <v>202.29</v>
      </c>
      <c r="G36" s="181"/>
      <c r="H36" s="144"/>
      <c r="I36" s="145">
        <f>H36*L36</f>
        <v>0</v>
      </c>
      <c r="J36" s="138">
        <f t="shared" si="3"/>
        <v>0</v>
      </c>
      <c r="K36" s="92">
        <f t="shared" si="0"/>
        <v>0</v>
      </c>
      <c r="L36" s="90">
        <f t="shared" si="1"/>
        <v>1.25</v>
      </c>
    </row>
    <row r="37" spans="2:12" ht="15.75" x14ac:dyDescent="0.25">
      <c r="B37" s="149" t="s">
        <v>187</v>
      </c>
      <c r="C37" s="143" t="s">
        <v>181</v>
      </c>
      <c r="D37" s="147" t="s">
        <v>182</v>
      </c>
      <c r="E37" s="148" t="s">
        <v>176</v>
      </c>
      <c r="F37" s="181">
        <f>F36*0.1</f>
        <v>20.228999999999999</v>
      </c>
      <c r="G37" s="181"/>
      <c r="H37" s="145"/>
      <c r="I37" s="145">
        <f>H37*L37</f>
        <v>0</v>
      </c>
      <c r="J37" s="138">
        <f t="shared" si="3"/>
        <v>0</v>
      </c>
      <c r="K37" s="92">
        <f t="shared" si="0"/>
        <v>0</v>
      </c>
      <c r="L37" s="90">
        <f t="shared" si="1"/>
        <v>1.25</v>
      </c>
    </row>
    <row r="38" spans="2:12" ht="15.75" x14ac:dyDescent="0.25">
      <c r="B38" s="182"/>
      <c r="C38" s="183"/>
      <c r="D38" s="183"/>
      <c r="E38" s="183"/>
      <c r="F38" s="183"/>
      <c r="G38" s="184"/>
      <c r="H38" s="172" t="s">
        <v>20</v>
      </c>
      <c r="I38" s="173"/>
      <c r="J38" s="138">
        <f>TRUNC(SUM(J33:J37),2)</f>
        <v>0</v>
      </c>
      <c r="K38" s="92">
        <f t="shared" si="0"/>
        <v>0</v>
      </c>
      <c r="L38" s="90">
        <f t="shared" si="1"/>
        <v>1.25</v>
      </c>
    </row>
    <row r="39" spans="2:12" ht="15.75" x14ac:dyDescent="0.25">
      <c r="B39" s="132" t="s">
        <v>256</v>
      </c>
      <c r="C39" s="133" t="s">
        <v>153</v>
      </c>
      <c r="D39" s="174" t="s">
        <v>154</v>
      </c>
      <c r="E39" s="175"/>
      <c r="F39" s="175"/>
      <c r="G39" s="175"/>
      <c r="H39" s="175"/>
      <c r="I39" s="175"/>
      <c r="J39" s="176"/>
      <c r="K39" s="92">
        <f t="shared" si="0"/>
        <v>0</v>
      </c>
      <c r="L39" s="90">
        <f t="shared" si="1"/>
        <v>1.25</v>
      </c>
    </row>
    <row r="40" spans="2:12" ht="47.25" x14ac:dyDescent="0.25">
      <c r="B40" s="149" t="s">
        <v>257</v>
      </c>
      <c r="C40" s="135" t="s">
        <v>150</v>
      </c>
      <c r="D40" s="152" t="s">
        <v>299</v>
      </c>
      <c r="E40" s="139" t="s">
        <v>109</v>
      </c>
      <c r="F40" s="170">
        <v>77</v>
      </c>
      <c r="G40" s="171"/>
      <c r="H40" s="150"/>
      <c r="I40" s="145">
        <f>H40*L40</f>
        <v>0</v>
      </c>
      <c r="J40" s="138">
        <f>TRUNC(I40*F40,2)</f>
        <v>0</v>
      </c>
      <c r="K40" s="92">
        <f t="shared" si="0"/>
        <v>0</v>
      </c>
      <c r="L40" s="90">
        <f t="shared" si="1"/>
        <v>1.25</v>
      </c>
    </row>
    <row r="41" spans="2:12" ht="47.25" x14ac:dyDescent="0.25">
      <c r="B41" s="149" t="s">
        <v>258</v>
      </c>
      <c r="C41" s="135" t="s">
        <v>152</v>
      </c>
      <c r="D41" s="152" t="s">
        <v>151</v>
      </c>
      <c r="E41" s="149" t="s">
        <v>147</v>
      </c>
      <c r="F41" s="170">
        <f>(1.2*1*36)+(1*1*10)</f>
        <v>53.199999999999996</v>
      </c>
      <c r="G41" s="171"/>
      <c r="H41" s="150"/>
      <c r="I41" s="145">
        <f>H41*L41</f>
        <v>0</v>
      </c>
      <c r="J41" s="138">
        <f t="shared" ref="J41:J45" si="4">TRUNC(I41*F41,2)</f>
        <v>0</v>
      </c>
      <c r="K41" s="92">
        <f t="shared" si="0"/>
        <v>0</v>
      </c>
      <c r="L41" s="90">
        <f t="shared" si="1"/>
        <v>1.25</v>
      </c>
    </row>
    <row r="42" spans="2:12" ht="47.25" x14ac:dyDescent="0.25">
      <c r="B42" s="149" t="s">
        <v>259</v>
      </c>
      <c r="C42" s="135" t="s">
        <v>158</v>
      </c>
      <c r="D42" s="152" t="s">
        <v>155</v>
      </c>
      <c r="E42" s="149" t="s">
        <v>147</v>
      </c>
      <c r="F42" s="170">
        <f>(0.6*0.6*12)</f>
        <v>4.32</v>
      </c>
      <c r="G42" s="171"/>
      <c r="H42" s="150"/>
      <c r="I42" s="145">
        <f>H42*L42</f>
        <v>0</v>
      </c>
      <c r="J42" s="138">
        <f t="shared" si="4"/>
        <v>0</v>
      </c>
      <c r="K42" s="92">
        <f t="shared" si="0"/>
        <v>0</v>
      </c>
      <c r="L42" s="90">
        <f t="shared" si="1"/>
        <v>1.25</v>
      </c>
    </row>
    <row r="43" spans="2:12" ht="31.5" x14ac:dyDescent="0.25">
      <c r="B43" s="149" t="s">
        <v>260</v>
      </c>
      <c r="C43" s="135" t="s">
        <v>157</v>
      </c>
      <c r="D43" s="152" t="s">
        <v>156</v>
      </c>
      <c r="E43" s="149" t="s">
        <v>147</v>
      </c>
      <c r="F43" s="170">
        <f>F42+F41</f>
        <v>57.519999999999996</v>
      </c>
      <c r="G43" s="171"/>
      <c r="H43" s="150"/>
      <c r="I43" s="145">
        <f>H43*L43</f>
        <v>0</v>
      </c>
      <c r="J43" s="138">
        <f t="shared" si="4"/>
        <v>0</v>
      </c>
      <c r="K43" s="92">
        <f t="shared" si="0"/>
        <v>0</v>
      </c>
      <c r="L43" s="90">
        <f t="shared" si="1"/>
        <v>1.25</v>
      </c>
    </row>
    <row r="44" spans="2:12" ht="47.25" x14ac:dyDescent="0.25">
      <c r="B44" s="149" t="s">
        <v>352</v>
      </c>
      <c r="C44" s="154" t="s">
        <v>348</v>
      </c>
      <c r="D44" s="155" t="s">
        <v>349</v>
      </c>
      <c r="E44" s="154" t="s">
        <v>109</v>
      </c>
      <c r="F44" s="178">
        <v>77</v>
      </c>
      <c r="G44" s="178"/>
      <c r="H44" s="157"/>
      <c r="I44" s="145">
        <f>H44*L44</f>
        <v>0</v>
      </c>
      <c r="J44" s="138">
        <f t="shared" si="4"/>
        <v>0</v>
      </c>
      <c r="K44" s="92">
        <f t="shared" si="0"/>
        <v>0</v>
      </c>
      <c r="L44" s="90">
        <f t="shared" si="1"/>
        <v>1.25</v>
      </c>
    </row>
    <row r="45" spans="2:12" ht="63" x14ac:dyDescent="0.25">
      <c r="B45" s="149" t="s">
        <v>353</v>
      </c>
      <c r="C45" s="154" t="s">
        <v>350</v>
      </c>
      <c r="D45" s="155" t="s">
        <v>351</v>
      </c>
      <c r="E45" s="154" t="s">
        <v>109</v>
      </c>
      <c r="F45" s="178">
        <v>58</v>
      </c>
      <c r="G45" s="178"/>
      <c r="H45" s="157"/>
      <c r="I45" s="145">
        <f>H45*L45</f>
        <v>0</v>
      </c>
      <c r="J45" s="138">
        <f t="shared" si="4"/>
        <v>0</v>
      </c>
      <c r="K45" s="92">
        <f t="shared" si="0"/>
        <v>0</v>
      </c>
      <c r="L45" s="90">
        <f t="shared" si="1"/>
        <v>1.25</v>
      </c>
    </row>
    <row r="46" spans="2:12" ht="15.75" x14ac:dyDescent="0.25">
      <c r="B46" s="182"/>
      <c r="C46" s="183"/>
      <c r="D46" s="183"/>
      <c r="E46" s="183"/>
      <c r="F46" s="183"/>
      <c r="G46" s="184"/>
      <c r="H46" s="172" t="s">
        <v>20</v>
      </c>
      <c r="I46" s="173"/>
      <c r="J46" s="138">
        <f>TRUNC(SUM(J40:J45),2)</f>
        <v>0</v>
      </c>
      <c r="K46" s="92">
        <f t="shared" si="0"/>
        <v>0</v>
      </c>
      <c r="L46" s="90">
        <f t="shared" si="1"/>
        <v>1.25</v>
      </c>
    </row>
    <row r="47" spans="2:12" ht="15.75" x14ac:dyDescent="0.25">
      <c r="B47" s="132" t="s">
        <v>15</v>
      </c>
      <c r="C47" s="133" t="s">
        <v>159</v>
      </c>
      <c r="D47" s="174" t="s">
        <v>304</v>
      </c>
      <c r="E47" s="175"/>
      <c r="F47" s="175"/>
      <c r="G47" s="175"/>
      <c r="H47" s="175"/>
      <c r="I47" s="175"/>
      <c r="J47" s="176"/>
      <c r="K47" s="92">
        <f t="shared" si="0"/>
        <v>0</v>
      </c>
      <c r="L47" s="90">
        <f t="shared" si="1"/>
        <v>1.25</v>
      </c>
    </row>
    <row r="48" spans="2:12" ht="63" x14ac:dyDescent="0.25">
      <c r="B48" s="140" t="s">
        <v>261</v>
      </c>
      <c r="C48" s="135" t="s">
        <v>160</v>
      </c>
      <c r="D48" s="152" t="s">
        <v>345</v>
      </c>
      <c r="E48" s="140" t="s">
        <v>147</v>
      </c>
      <c r="F48" s="170">
        <f>(41.66*6)+30</f>
        <v>279.95999999999998</v>
      </c>
      <c r="G48" s="171"/>
      <c r="H48" s="153"/>
      <c r="I48" s="145">
        <f>H48*L48</f>
        <v>0</v>
      </c>
      <c r="J48" s="138">
        <f>TRUNC(I48*F48,2)</f>
        <v>0</v>
      </c>
      <c r="K48" s="92">
        <f t="shared" ref="K48:K79" si="5">$J$123</f>
        <v>0</v>
      </c>
      <c r="L48" s="90">
        <f t="shared" si="1"/>
        <v>1.25</v>
      </c>
    </row>
    <row r="49" spans="2:12" ht="63" x14ac:dyDescent="0.25">
      <c r="B49" s="140" t="s">
        <v>262</v>
      </c>
      <c r="C49" s="154" t="s">
        <v>363</v>
      </c>
      <c r="D49" s="155" t="s">
        <v>364</v>
      </c>
      <c r="E49" s="154" t="s">
        <v>147</v>
      </c>
      <c r="F49" s="178">
        <v>122.35</v>
      </c>
      <c r="G49" s="178"/>
      <c r="H49" s="167"/>
      <c r="I49" s="145">
        <f>H49*L49</f>
        <v>0</v>
      </c>
      <c r="J49" s="138">
        <f t="shared" ref="J49:J52" si="6">TRUNC(I49*F49,2)</f>
        <v>0</v>
      </c>
      <c r="K49" s="92">
        <f t="shared" si="5"/>
        <v>0</v>
      </c>
      <c r="L49" s="90">
        <f t="shared" si="1"/>
        <v>1.25</v>
      </c>
    </row>
    <row r="50" spans="2:12" ht="94.5" x14ac:dyDescent="0.25">
      <c r="B50" s="140" t="s">
        <v>307</v>
      </c>
      <c r="C50" s="154" t="s">
        <v>365</v>
      </c>
      <c r="D50" s="155" t="s">
        <v>366</v>
      </c>
      <c r="E50" s="154" t="s">
        <v>147</v>
      </c>
      <c r="F50" s="178">
        <f>F49</f>
        <v>122.35</v>
      </c>
      <c r="G50" s="178"/>
      <c r="H50" s="167"/>
      <c r="I50" s="145">
        <f>H50*L50</f>
        <v>0</v>
      </c>
      <c r="J50" s="138">
        <f t="shared" si="6"/>
        <v>0</v>
      </c>
      <c r="K50" s="92">
        <f t="shared" si="5"/>
        <v>0</v>
      </c>
      <c r="L50" s="90">
        <f t="shared" si="1"/>
        <v>1.25</v>
      </c>
    </row>
    <row r="51" spans="2:12" ht="78.75" x14ac:dyDescent="0.25">
      <c r="B51" s="140" t="s">
        <v>308</v>
      </c>
      <c r="C51" s="154" t="s">
        <v>305</v>
      </c>
      <c r="D51" s="155" t="s">
        <v>367</v>
      </c>
      <c r="E51" s="154" t="s">
        <v>147</v>
      </c>
      <c r="F51" s="178">
        <v>70.625</v>
      </c>
      <c r="G51" s="178"/>
      <c r="H51" s="167"/>
      <c r="I51" s="145">
        <f>H51*L51</f>
        <v>0</v>
      </c>
      <c r="J51" s="138">
        <f t="shared" si="6"/>
        <v>0</v>
      </c>
      <c r="K51" s="92">
        <f t="shared" si="5"/>
        <v>0</v>
      </c>
      <c r="L51" s="90">
        <f t="shared" si="1"/>
        <v>1.25</v>
      </c>
    </row>
    <row r="52" spans="2:12" ht="78.75" x14ac:dyDescent="0.25">
      <c r="B52" s="140" t="s">
        <v>309</v>
      </c>
      <c r="C52" s="154" t="s">
        <v>306</v>
      </c>
      <c r="D52" s="155" t="s">
        <v>368</v>
      </c>
      <c r="E52" s="154" t="s">
        <v>147</v>
      </c>
      <c r="F52" s="178">
        <f>F51</f>
        <v>70.625</v>
      </c>
      <c r="G52" s="178"/>
      <c r="H52" s="167"/>
      <c r="I52" s="145">
        <f>H52*L52</f>
        <v>0</v>
      </c>
      <c r="J52" s="138">
        <f t="shared" si="6"/>
        <v>0</v>
      </c>
      <c r="K52" s="92">
        <f t="shared" si="5"/>
        <v>0</v>
      </c>
      <c r="L52" s="90">
        <f t="shared" si="1"/>
        <v>1.25</v>
      </c>
    </row>
    <row r="53" spans="2:12" ht="15.75" x14ac:dyDescent="0.25">
      <c r="B53" s="182"/>
      <c r="C53" s="183"/>
      <c r="D53" s="183"/>
      <c r="E53" s="183"/>
      <c r="F53" s="183"/>
      <c r="G53" s="184"/>
      <c r="H53" s="200" t="s">
        <v>20</v>
      </c>
      <c r="I53" s="200"/>
      <c r="J53" s="138">
        <f>TRUNC(SUM(J48:J52),2)</f>
        <v>0</v>
      </c>
      <c r="K53" s="92">
        <f t="shared" si="5"/>
        <v>0</v>
      </c>
      <c r="L53" s="90">
        <f t="shared" si="1"/>
        <v>1.25</v>
      </c>
    </row>
    <row r="54" spans="2:12" ht="15.75" x14ac:dyDescent="0.25">
      <c r="B54" s="132" t="s">
        <v>16</v>
      </c>
      <c r="C54" s="133" t="s">
        <v>290</v>
      </c>
      <c r="D54" s="174" t="s">
        <v>289</v>
      </c>
      <c r="E54" s="175"/>
      <c r="F54" s="175"/>
      <c r="G54" s="175"/>
      <c r="H54" s="175"/>
      <c r="I54" s="175"/>
      <c r="J54" s="176"/>
      <c r="K54" s="92">
        <f t="shared" si="5"/>
        <v>0</v>
      </c>
      <c r="L54" s="90">
        <f t="shared" si="1"/>
        <v>1.25</v>
      </c>
    </row>
    <row r="55" spans="2:12" ht="47.25" x14ac:dyDescent="0.25">
      <c r="B55" s="140" t="s">
        <v>249</v>
      </c>
      <c r="C55" s="154" t="s">
        <v>312</v>
      </c>
      <c r="D55" s="155" t="s">
        <v>311</v>
      </c>
      <c r="E55" s="156" t="s">
        <v>147</v>
      </c>
      <c r="F55" s="177">
        <f>52.5*7</f>
        <v>367.5</v>
      </c>
      <c r="G55" s="177"/>
      <c r="H55" s="157"/>
      <c r="I55" s="145">
        <f>H55*L55</f>
        <v>0</v>
      </c>
      <c r="J55" s="138">
        <f>TRUNC(I55*F55,2)</f>
        <v>0</v>
      </c>
      <c r="K55" s="92">
        <f t="shared" si="5"/>
        <v>0</v>
      </c>
      <c r="L55" s="90">
        <f t="shared" si="1"/>
        <v>1.25</v>
      </c>
    </row>
    <row r="56" spans="2:12" ht="78.75" x14ac:dyDescent="0.25">
      <c r="B56" s="140" t="s">
        <v>250</v>
      </c>
      <c r="C56" s="154" t="s">
        <v>292</v>
      </c>
      <c r="D56" s="155" t="s">
        <v>291</v>
      </c>
      <c r="E56" s="156" t="s">
        <v>104</v>
      </c>
      <c r="F56" s="177">
        <f>7.05*7</f>
        <v>49.35</v>
      </c>
      <c r="G56" s="177"/>
      <c r="H56" s="157"/>
      <c r="I56" s="145">
        <f>H56*L56</f>
        <v>0</v>
      </c>
      <c r="J56" s="138">
        <f t="shared" ref="J56:J61" si="7">TRUNC(I56*F56,2)</f>
        <v>0</v>
      </c>
      <c r="K56" s="92">
        <f t="shared" si="5"/>
        <v>0</v>
      </c>
      <c r="L56" s="90">
        <f t="shared" si="1"/>
        <v>1.25</v>
      </c>
    </row>
    <row r="57" spans="2:12" ht="47.25" x14ac:dyDescent="0.25">
      <c r="B57" s="140" t="s">
        <v>251</v>
      </c>
      <c r="C57" s="154" t="s">
        <v>294</v>
      </c>
      <c r="D57" s="155" t="s">
        <v>293</v>
      </c>
      <c r="E57" s="156" t="s">
        <v>147</v>
      </c>
      <c r="F57" s="177">
        <f>52.5*2</f>
        <v>105</v>
      </c>
      <c r="G57" s="177"/>
      <c r="H57" s="157"/>
      <c r="I57" s="145">
        <f>H57*L57</f>
        <v>0</v>
      </c>
      <c r="J57" s="138">
        <f t="shared" si="7"/>
        <v>0</v>
      </c>
      <c r="K57" s="92">
        <f t="shared" si="5"/>
        <v>0</v>
      </c>
      <c r="L57" s="90">
        <f t="shared" si="1"/>
        <v>1.25</v>
      </c>
    </row>
    <row r="58" spans="2:12" ht="78.75" x14ac:dyDescent="0.25">
      <c r="B58" s="140" t="s">
        <v>252</v>
      </c>
      <c r="C58" s="154" t="s">
        <v>296</v>
      </c>
      <c r="D58" s="155" t="s">
        <v>295</v>
      </c>
      <c r="E58" s="156" t="s">
        <v>147</v>
      </c>
      <c r="F58" s="177">
        <f>52.5*4</f>
        <v>210</v>
      </c>
      <c r="G58" s="177"/>
      <c r="H58" s="157"/>
      <c r="I58" s="145">
        <f>H58*L58</f>
        <v>0</v>
      </c>
      <c r="J58" s="138">
        <f t="shared" si="7"/>
        <v>0</v>
      </c>
      <c r="K58" s="92">
        <f t="shared" si="5"/>
        <v>0</v>
      </c>
      <c r="L58" s="90">
        <f t="shared" si="1"/>
        <v>1.25</v>
      </c>
    </row>
    <row r="59" spans="2:12" ht="63" x14ac:dyDescent="0.25">
      <c r="B59" s="140" t="s">
        <v>338</v>
      </c>
      <c r="C59" s="154" t="s">
        <v>347</v>
      </c>
      <c r="D59" s="155" t="s">
        <v>346</v>
      </c>
      <c r="E59" s="156" t="s">
        <v>109</v>
      </c>
      <c r="F59" s="177">
        <f>3*4</f>
        <v>12</v>
      </c>
      <c r="G59" s="177"/>
      <c r="H59" s="157"/>
      <c r="I59" s="145">
        <f>H59*L59</f>
        <v>0</v>
      </c>
      <c r="J59" s="138">
        <f t="shared" si="7"/>
        <v>0</v>
      </c>
      <c r="K59" s="92">
        <f t="shared" si="5"/>
        <v>0</v>
      </c>
      <c r="L59" s="90">
        <f t="shared" si="1"/>
        <v>1.25</v>
      </c>
    </row>
    <row r="60" spans="2:12" ht="47.25" x14ac:dyDescent="0.25">
      <c r="B60" s="140" t="s">
        <v>339</v>
      </c>
      <c r="C60" s="154" t="s">
        <v>335</v>
      </c>
      <c r="D60" s="155" t="s">
        <v>370</v>
      </c>
      <c r="E60" s="156" t="s">
        <v>334</v>
      </c>
      <c r="F60" s="177">
        <v>48</v>
      </c>
      <c r="G60" s="177"/>
      <c r="H60" s="157"/>
      <c r="I60" s="145">
        <f>H60*L60</f>
        <v>0</v>
      </c>
      <c r="J60" s="138">
        <f t="shared" si="7"/>
        <v>0</v>
      </c>
      <c r="K60" s="92">
        <f t="shared" si="5"/>
        <v>0</v>
      </c>
      <c r="L60" s="90">
        <f t="shared" si="1"/>
        <v>1.25</v>
      </c>
    </row>
    <row r="61" spans="2:12" ht="31.5" x14ac:dyDescent="0.25">
      <c r="B61" s="140" t="s">
        <v>340</v>
      </c>
      <c r="C61" s="154" t="s">
        <v>341</v>
      </c>
      <c r="D61" s="155" t="s">
        <v>342</v>
      </c>
      <c r="E61" s="156" t="s">
        <v>147</v>
      </c>
      <c r="F61" s="177">
        <f>F58</f>
        <v>210</v>
      </c>
      <c r="G61" s="177"/>
      <c r="H61" s="157"/>
      <c r="I61" s="145">
        <f>H61*L61</f>
        <v>0</v>
      </c>
      <c r="J61" s="138">
        <f t="shared" si="7"/>
        <v>0</v>
      </c>
      <c r="K61" s="92">
        <f t="shared" si="5"/>
        <v>0</v>
      </c>
      <c r="L61" s="90">
        <f t="shared" si="1"/>
        <v>1.25</v>
      </c>
    </row>
    <row r="62" spans="2:12" ht="15.75" x14ac:dyDescent="0.25">
      <c r="B62" s="182"/>
      <c r="C62" s="183"/>
      <c r="D62" s="183"/>
      <c r="E62" s="183"/>
      <c r="F62" s="183"/>
      <c r="G62" s="184"/>
      <c r="H62" s="200" t="s">
        <v>20</v>
      </c>
      <c r="I62" s="200"/>
      <c r="J62" s="138">
        <f>TRUNC(SUM(J55:J61),2)</f>
        <v>0</v>
      </c>
      <c r="K62" s="92">
        <f t="shared" si="5"/>
        <v>0</v>
      </c>
      <c r="L62" s="90">
        <f t="shared" si="1"/>
        <v>1.25</v>
      </c>
    </row>
    <row r="63" spans="2:12" ht="15.75" x14ac:dyDescent="0.25">
      <c r="B63" s="132" t="s">
        <v>17</v>
      </c>
      <c r="C63" s="133" t="s">
        <v>188</v>
      </c>
      <c r="D63" s="174" t="s">
        <v>371</v>
      </c>
      <c r="E63" s="175"/>
      <c r="F63" s="175"/>
      <c r="G63" s="175"/>
      <c r="H63" s="175"/>
      <c r="I63" s="175"/>
      <c r="J63" s="176"/>
      <c r="K63" s="92">
        <f t="shared" si="5"/>
        <v>0</v>
      </c>
      <c r="L63" s="90">
        <f t="shared" si="1"/>
        <v>1.25</v>
      </c>
    </row>
    <row r="64" spans="2:12" ht="78.75" x14ac:dyDescent="0.25">
      <c r="B64" s="140" t="s">
        <v>253</v>
      </c>
      <c r="C64" s="154" t="s">
        <v>202</v>
      </c>
      <c r="D64" s="155" t="s">
        <v>201</v>
      </c>
      <c r="E64" s="156" t="s">
        <v>109</v>
      </c>
      <c r="F64" s="177">
        <f>1*20</f>
        <v>20</v>
      </c>
      <c r="G64" s="177"/>
      <c r="H64" s="157"/>
      <c r="I64" s="145">
        <f>H64*L64</f>
        <v>0</v>
      </c>
      <c r="J64" s="138">
        <f>TRUNC(I64*F64,2)</f>
        <v>0</v>
      </c>
      <c r="K64" s="92">
        <f t="shared" si="5"/>
        <v>0</v>
      </c>
      <c r="L64" s="90">
        <f t="shared" si="1"/>
        <v>1.25</v>
      </c>
    </row>
    <row r="65" spans="2:12" ht="78.75" x14ac:dyDescent="0.25">
      <c r="B65" s="140" t="s">
        <v>254</v>
      </c>
      <c r="C65" s="154" t="s">
        <v>204</v>
      </c>
      <c r="D65" s="155" t="s">
        <v>203</v>
      </c>
      <c r="E65" s="156" t="s">
        <v>109</v>
      </c>
      <c r="F65" s="177">
        <f>1*20</f>
        <v>20</v>
      </c>
      <c r="G65" s="177"/>
      <c r="H65" s="157"/>
      <c r="I65" s="145">
        <f>H65*L65</f>
        <v>0</v>
      </c>
      <c r="J65" s="138">
        <f t="shared" ref="J65:J89" si="8">TRUNC(I65*F65,2)</f>
        <v>0</v>
      </c>
      <c r="K65" s="92">
        <f t="shared" si="5"/>
        <v>0</v>
      </c>
      <c r="L65" s="90">
        <f t="shared" si="1"/>
        <v>1.25</v>
      </c>
    </row>
    <row r="66" spans="2:12" ht="63" x14ac:dyDescent="0.25">
      <c r="B66" s="140" t="s">
        <v>255</v>
      </c>
      <c r="C66" s="154" t="s">
        <v>208</v>
      </c>
      <c r="D66" s="155" t="s">
        <v>207</v>
      </c>
      <c r="E66" s="156" t="s">
        <v>147</v>
      </c>
      <c r="F66" s="177">
        <f>2.07*20</f>
        <v>41.4</v>
      </c>
      <c r="G66" s="177"/>
      <c r="H66" s="157"/>
      <c r="I66" s="145">
        <f>H66*L66</f>
        <v>0</v>
      </c>
      <c r="J66" s="138">
        <f t="shared" si="8"/>
        <v>0</v>
      </c>
      <c r="K66" s="92">
        <f t="shared" si="5"/>
        <v>0</v>
      </c>
      <c r="L66" s="90">
        <f t="shared" si="1"/>
        <v>1.25</v>
      </c>
    </row>
    <row r="67" spans="2:12" ht="63" x14ac:dyDescent="0.25">
      <c r="B67" s="140" t="s">
        <v>263</v>
      </c>
      <c r="C67" s="154" t="s">
        <v>212</v>
      </c>
      <c r="D67" s="155" t="s">
        <v>211</v>
      </c>
      <c r="E67" s="156" t="s">
        <v>109</v>
      </c>
      <c r="F67" s="177">
        <f>1*20</f>
        <v>20</v>
      </c>
      <c r="G67" s="177"/>
      <c r="H67" s="157"/>
      <c r="I67" s="145">
        <f>H67*L67</f>
        <v>0</v>
      </c>
      <c r="J67" s="138">
        <f t="shared" si="8"/>
        <v>0</v>
      </c>
      <c r="K67" s="92">
        <f t="shared" si="5"/>
        <v>0</v>
      </c>
      <c r="L67" s="90">
        <f t="shared" si="1"/>
        <v>1.25</v>
      </c>
    </row>
    <row r="68" spans="2:12" ht="31.5" x14ac:dyDescent="0.25">
      <c r="B68" s="140" t="s">
        <v>264</v>
      </c>
      <c r="C68" s="154" t="s">
        <v>218</v>
      </c>
      <c r="D68" s="155" t="s">
        <v>217</v>
      </c>
      <c r="E68" s="156" t="s">
        <v>109</v>
      </c>
      <c r="F68" s="177">
        <v>13</v>
      </c>
      <c r="G68" s="177"/>
      <c r="H68" s="157"/>
      <c r="I68" s="145">
        <f>H68*L68</f>
        <v>0</v>
      </c>
      <c r="J68" s="138">
        <f t="shared" si="8"/>
        <v>0</v>
      </c>
      <c r="K68" s="92">
        <f t="shared" si="5"/>
        <v>0</v>
      </c>
      <c r="L68" s="90">
        <f t="shared" si="1"/>
        <v>1.25</v>
      </c>
    </row>
    <row r="69" spans="2:12" ht="47.25" x14ac:dyDescent="0.25">
      <c r="B69" s="140" t="s">
        <v>265</v>
      </c>
      <c r="C69" s="154" t="s">
        <v>316</v>
      </c>
      <c r="D69" s="155" t="s">
        <v>315</v>
      </c>
      <c r="E69" s="156" t="s">
        <v>109</v>
      </c>
      <c r="F69" s="177">
        <v>7</v>
      </c>
      <c r="G69" s="177"/>
      <c r="H69" s="157"/>
      <c r="I69" s="145">
        <f>H69*L69</f>
        <v>0</v>
      </c>
      <c r="J69" s="138">
        <f t="shared" si="8"/>
        <v>0</v>
      </c>
      <c r="K69" s="92">
        <f t="shared" si="5"/>
        <v>0</v>
      </c>
      <c r="L69" s="90">
        <f t="shared" si="1"/>
        <v>1.25</v>
      </c>
    </row>
    <row r="70" spans="2:12" ht="94.5" x14ac:dyDescent="0.25">
      <c r="B70" s="149" t="s">
        <v>329</v>
      </c>
      <c r="C70" s="154" t="s">
        <v>326</v>
      </c>
      <c r="D70" s="155" t="s">
        <v>325</v>
      </c>
      <c r="E70" s="156" t="s">
        <v>109</v>
      </c>
      <c r="F70" s="177">
        <v>7</v>
      </c>
      <c r="G70" s="177"/>
      <c r="H70" s="157"/>
      <c r="I70" s="145">
        <f>H70*L70</f>
        <v>0</v>
      </c>
      <c r="J70" s="138">
        <f t="shared" si="8"/>
        <v>0</v>
      </c>
      <c r="K70" s="92">
        <f t="shared" si="5"/>
        <v>0</v>
      </c>
      <c r="L70" s="90">
        <f t="shared" si="1"/>
        <v>1.25</v>
      </c>
    </row>
    <row r="71" spans="2:12" ht="94.5" x14ac:dyDescent="0.25">
      <c r="B71" s="140" t="s">
        <v>266</v>
      </c>
      <c r="C71" s="154" t="s">
        <v>328</v>
      </c>
      <c r="D71" s="155" t="s">
        <v>327</v>
      </c>
      <c r="E71" s="156" t="s">
        <v>109</v>
      </c>
      <c r="F71" s="177">
        <v>7</v>
      </c>
      <c r="G71" s="177"/>
      <c r="H71" s="157"/>
      <c r="I71" s="145">
        <f>H71*L71</f>
        <v>0</v>
      </c>
      <c r="J71" s="138">
        <f t="shared" si="8"/>
        <v>0</v>
      </c>
      <c r="K71" s="92">
        <f t="shared" si="5"/>
        <v>0</v>
      </c>
      <c r="L71" s="90">
        <f t="shared" si="1"/>
        <v>1.25</v>
      </c>
    </row>
    <row r="72" spans="2:12" ht="63" x14ac:dyDescent="0.25">
      <c r="B72" s="140" t="s">
        <v>267</v>
      </c>
      <c r="C72" s="154" t="s">
        <v>220</v>
      </c>
      <c r="D72" s="155" t="s">
        <v>219</v>
      </c>
      <c r="E72" s="156" t="s">
        <v>104</v>
      </c>
      <c r="F72" s="177">
        <f>24*20</f>
        <v>480</v>
      </c>
      <c r="G72" s="177"/>
      <c r="H72" s="157"/>
      <c r="I72" s="145">
        <f>H72*L72</f>
        <v>0</v>
      </c>
      <c r="J72" s="138">
        <f t="shared" si="8"/>
        <v>0</v>
      </c>
      <c r="K72" s="92">
        <f t="shared" si="5"/>
        <v>0</v>
      </c>
      <c r="L72" s="90">
        <f t="shared" si="1"/>
        <v>1.25</v>
      </c>
    </row>
    <row r="73" spans="2:12" ht="63" x14ac:dyDescent="0.25">
      <c r="B73" s="140" t="s">
        <v>268</v>
      </c>
      <c r="C73" s="154" t="s">
        <v>322</v>
      </c>
      <c r="D73" s="155" t="s">
        <v>321</v>
      </c>
      <c r="E73" s="156" t="s">
        <v>104</v>
      </c>
      <c r="F73" s="177">
        <f>3*7</f>
        <v>21</v>
      </c>
      <c r="G73" s="177"/>
      <c r="H73" s="157"/>
      <c r="I73" s="145">
        <f>H73*L73</f>
        <v>0</v>
      </c>
      <c r="J73" s="138">
        <f t="shared" si="8"/>
        <v>0</v>
      </c>
      <c r="K73" s="92">
        <f t="shared" si="5"/>
        <v>0</v>
      </c>
      <c r="L73" s="90">
        <f t="shared" si="1"/>
        <v>1.25</v>
      </c>
    </row>
    <row r="74" spans="2:12" ht="63" x14ac:dyDescent="0.25">
      <c r="B74" s="140" t="s">
        <v>269</v>
      </c>
      <c r="C74" s="154" t="s">
        <v>226</v>
      </c>
      <c r="D74" s="155" t="s">
        <v>225</v>
      </c>
      <c r="E74" s="156" t="s">
        <v>104</v>
      </c>
      <c r="F74" s="177">
        <f>6*20</f>
        <v>120</v>
      </c>
      <c r="G74" s="177"/>
      <c r="H74" s="157"/>
      <c r="I74" s="145">
        <f>H74*L74</f>
        <v>0</v>
      </c>
      <c r="J74" s="138">
        <f t="shared" si="8"/>
        <v>0</v>
      </c>
      <c r="K74" s="92">
        <f t="shared" si="5"/>
        <v>0</v>
      </c>
      <c r="L74" s="90">
        <f t="shared" si="1"/>
        <v>1.25</v>
      </c>
    </row>
    <row r="75" spans="2:12" ht="63" x14ac:dyDescent="0.25">
      <c r="B75" s="140" t="s">
        <v>281</v>
      </c>
      <c r="C75" s="154" t="s">
        <v>224</v>
      </c>
      <c r="D75" s="155" t="s">
        <v>223</v>
      </c>
      <c r="E75" s="156" t="s">
        <v>104</v>
      </c>
      <c r="F75" s="177">
        <f>6*20</f>
        <v>120</v>
      </c>
      <c r="G75" s="177"/>
      <c r="H75" s="157"/>
      <c r="I75" s="145">
        <f>H75*L75</f>
        <v>0</v>
      </c>
      <c r="J75" s="138">
        <f t="shared" si="8"/>
        <v>0</v>
      </c>
      <c r="K75" s="92">
        <f t="shared" si="5"/>
        <v>0</v>
      </c>
      <c r="L75" s="90">
        <f t="shared" si="1"/>
        <v>1.25</v>
      </c>
    </row>
    <row r="76" spans="2:12" ht="63" x14ac:dyDescent="0.25">
      <c r="B76" s="140" t="s">
        <v>282</v>
      </c>
      <c r="C76" s="154" t="s">
        <v>314</v>
      </c>
      <c r="D76" s="155" t="s">
        <v>313</v>
      </c>
      <c r="E76" s="156" t="s">
        <v>104</v>
      </c>
      <c r="F76" s="177">
        <f>12*20</f>
        <v>240</v>
      </c>
      <c r="G76" s="177"/>
      <c r="H76" s="157"/>
      <c r="I76" s="145">
        <f>H76*L76</f>
        <v>0</v>
      </c>
      <c r="J76" s="138">
        <f t="shared" si="8"/>
        <v>0</v>
      </c>
      <c r="K76" s="92">
        <f t="shared" si="5"/>
        <v>0</v>
      </c>
      <c r="L76" s="90">
        <f t="shared" si="1"/>
        <v>1.25</v>
      </c>
    </row>
    <row r="77" spans="2:12" ht="63" x14ac:dyDescent="0.25">
      <c r="B77" s="140" t="s">
        <v>283</v>
      </c>
      <c r="C77" s="154" t="s">
        <v>222</v>
      </c>
      <c r="D77" s="155" t="s">
        <v>221</v>
      </c>
      <c r="E77" s="156" t="s">
        <v>109</v>
      </c>
      <c r="F77" s="177">
        <f>10*4+2*16</f>
        <v>72</v>
      </c>
      <c r="G77" s="177"/>
      <c r="H77" s="157"/>
      <c r="I77" s="145">
        <f>H77*L77</f>
        <v>0</v>
      </c>
      <c r="J77" s="138">
        <f t="shared" si="8"/>
        <v>0</v>
      </c>
      <c r="K77" s="92">
        <f t="shared" si="5"/>
        <v>0</v>
      </c>
      <c r="L77" s="90">
        <f t="shared" si="1"/>
        <v>1.25</v>
      </c>
    </row>
    <row r="78" spans="2:12" ht="63" x14ac:dyDescent="0.25">
      <c r="B78" s="140" t="s">
        <v>284</v>
      </c>
      <c r="C78" s="154" t="s">
        <v>324</v>
      </c>
      <c r="D78" s="155" t="s">
        <v>323</v>
      </c>
      <c r="E78" s="156" t="s">
        <v>109</v>
      </c>
      <c r="F78" s="177">
        <v>14</v>
      </c>
      <c r="G78" s="177"/>
      <c r="H78" s="157"/>
      <c r="I78" s="145">
        <f>H78*L78</f>
        <v>0</v>
      </c>
      <c r="J78" s="138">
        <f t="shared" si="8"/>
        <v>0</v>
      </c>
      <c r="K78" s="92">
        <f t="shared" si="5"/>
        <v>0</v>
      </c>
      <c r="L78" s="90">
        <f t="shared" ref="L78:L124" si="9">$D$19+1</f>
        <v>1.25</v>
      </c>
    </row>
    <row r="79" spans="2:12" ht="78.75" x14ac:dyDescent="0.25">
      <c r="B79" s="140" t="s">
        <v>285</v>
      </c>
      <c r="C79" s="154" t="s">
        <v>229</v>
      </c>
      <c r="D79" s="155" t="s">
        <v>230</v>
      </c>
      <c r="E79" s="156" t="s">
        <v>109</v>
      </c>
      <c r="F79" s="177">
        <f>6*4+2*16</f>
        <v>56</v>
      </c>
      <c r="G79" s="177"/>
      <c r="H79" s="157"/>
      <c r="I79" s="145">
        <f>H79*L79</f>
        <v>0</v>
      </c>
      <c r="J79" s="138">
        <f t="shared" si="8"/>
        <v>0</v>
      </c>
      <c r="K79" s="92">
        <f t="shared" si="5"/>
        <v>0</v>
      </c>
      <c r="L79" s="90">
        <f t="shared" si="9"/>
        <v>1.25</v>
      </c>
    </row>
    <row r="80" spans="2:12" ht="78.75" x14ac:dyDescent="0.25">
      <c r="B80" s="140" t="s">
        <v>286</v>
      </c>
      <c r="C80" s="154" t="s">
        <v>227</v>
      </c>
      <c r="D80" s="155" t="s">
        <v>228</v>
      </c>
      <c r="E80" s="156" t="s">
        <v>109</v>
      </c>
      <c r="F80" s="177">
        <f>5*4+2*16</f>
        <v>52</v>
      </c>
      <c r="G80" s="177"/>
      <c r="H80" s="157"/>
      <c r="I80" s="145">
        <f>H80*L80</f>
        <v>0</v>
      </c>
      <c r="J80" s="138">
        <f t="shared" si="8"/>
        <v>0</v>
      </c>
      <c r="K80" s="92">
        <f t="shared" ref="K80:K111" si="10">$J$123</f>
        <v>0</v>
      </c>
      <c r="L80" s="90">
        <f t="shared" si="9"/>
        <v>1.25</v>
      </c>
    </row>
    <row r="81" spans="2:12" ht="78.75" x14ac:dyDescent="0.25">
      <c r="B81" s="158" t="s">
        <v>287</v>
      </c>
      <c r="C81" s="154" t="s">
        <v>232</v>
      </c>
      <c r="D81" s="155" t="s">
        <v>231</v>
      </c>
      <c r="E81" s="156" t="s">
        <v>109</v>
      </c>
      <c r="F81" s="177">
        <f>4*20</f>
        <v>80</v>
      </c>
      <c r="G81" s="177"/>
      <c r="H81" s="157"/>
      <c r="I81" s="145">
        <f>H81*L81</f>
        <v>0</v>
      </c>
      <c r="J81" s="138">
        <f t="shared" si="8"/>
        <v>0</v>
      </c>
      <c r="K81" s="92">
        <f t="shared" si="10"/>
        <v>0</v>
      </c>
      <c r="L81" s="90">
        <f t="shared" si="9"/>
        <v>1.25</v>
      </c>
    </row>
    <row r="82" spans="2:12" ht="47.25" x14ac:dyDescent="0.25">
      <c r="B82" s="140" t="s">
        <v>288</v>
      </c>
      <c r="C82" s="154" t="s">
        <v>234</v>
      </c>
      <c r="D82" s="155" t="s">
        <v>233</v>
      </c>
      <c r="E82" s="156" t="s">
        <v>109</v>
      </c>
      <c r="F82" s="177">
        <f>5*4+2*16</f>
        <v>52</v>
      </c>
      <c r="G82" s="177"/>
      <c r="H82" s="157"/>
      <c r="I82" s="145">
        <f>H82*L82</f>
        <v>0</v>
      </c>
      <c r="J82" s="138">
        <f t="shared" si="8"/>
        <v>0</v>
      </c>
      <c r="K82" s="92">
        <f t="shared" si="10"/>
        <v>0</v>
      </c>
      <c r="L82" s="90">
        <f t="shared" si="9"/>
        <v>1.25</v>
      </c>
    </row>
    <row r="83" spans="2:12" ht="78.75" x14ac:dyDescent="0.25">
      <c r="B83" s="158" t="s">
        <v>317</v>
      </c>
      <c r="C83" s="154" t="s">
        <v>236</v>
      </c>
      <c r="D83" s="155" t="s">
        <v>235</v>
      </c>
      <c r="E83" s="156" t="s">
        <v>109</v>
      </c>
      <c r="F83" s="177">
        <f>2*20</f>
        <v>40</v>
      </c>
      <c r="G83" s="177"/>
      <c r="H83" s="157"/>
      <c r="I83" s="145">
        <f>H83*L83</f>
        <v>0</v>
      </c>
      <c r="J83" s="138">
        <f t="shared" si="8"/>
        <v>0</v>
      </c>
      <c r="K83" s="92">
        <f t="shared" si="10"/>
        <v>0</v>
      </c>
      <c r="L83" s="90">
        <f t="shared" si="9"/>
        <v>1.25</v>
      </c>
    </row>
    <row r="84" spans="2:12" ht="47.25" x14ac:dyDescent="0.25">
      <c r="B84" s="140" t="s">
        <v>318</v>
      </c>
      <c r="C84" s="154" t="s">
        <v>240</v>
      </c>
      <c r="D84" s="155" t="s">
        <v>239</v>
      </c>
      <c r="E84" s="156" t="s">
        <v>109</v>
      </c>
      <c r="F84" s="177">
        <f>3*4+2*16</f>
        <v>44</v>
      </c>
      <c r="G84" s="177"/>
      <c r="H84" s="157"/>
      <c r="I84" s="145">
        <f>H84*L84</f>
        <v>0</v>
      </c>
      <c r="J84" s="138">
        <f t="shared" si="8"/>
        <v>0</v>
      </c>
      <c r="K84" s="92">
        <f t="shared" si="10"/>
        <v>0</v>
      </c>
      <c r="L84" s="90">
        <f t="shared" si="9"/>
        <v>1.25</v>
      </c>
    </row>
    <row r="85" spans="2:12" ht="78.75" x14ac:dyDescent="0.25">
      <c r="B85" s="140" t="s">
        <v>330</v>
      </c>
      <c r="C85" s="154" t="s">
        <v>238</v>
      </c>
      <c r="D85" s="155" t="s">
        <v>237</v>
      </c>
      <c r="E85" s="156" t="s">
        <v>109</v>
      </c>
      <c r="F85" s="177">
        <f>6*20</f>
        <v>120</v>
      </c>
      <c r="G85" s="177"/>
      <c r="H85" s="157"/>
      <c r="I85" s="145">
        <f>H85*L85</f>
        <v>0</v>
      </c>
      <c r="J85" s="138">
        <f t="shared" si="8"/>
        <v>0</v>
      </c>
      <c r="K85" s="92">
        <f t="shared" si="10"/>
        <v>0</v>
      </c>
      <c r="L85" s="90">
        <f t="shared" si="9"/>
        <v>1.25</v>
      </c>
    </row>
    <row r="86" spans="2:12" ht="47.25" x14ac:dyDescent="0.25">
      <c r="B86" s="158" t="s">
        <v>331</v>
      </c>
      <c r="C86" s="154" t="s">
        <v>242</v>
      </c>
      <c r="D86" s="155" t="s">
        <v>241</v>
      </c>
      <c r="E86" s="156" t="s">
        <v>109</v>
      </c>
      <c r="F86" s="177">
        <f>1*20</f>
        <v>20</v>
      </c>
      <c r="G86" s="177"/>
      <c r="H86" s="157"/>
      <c r="I86" s="145">
        <f>H86*L86</f>
        <v>0</v>
      </c>
      <c r="J86" s="138">
        <f t="shared" si="8"/>
        <v>0</v>
      </c>
      <c r="K86" s="92">
        <f t="shared" si="10"/>
        <v>0</v>
      </c>
      <c r="L86" s="90">
        <f t="shared" si="9"/>
        <v>1.25</v>
      </c>
    </row>
    <row r="87" spans="2:12" ht="63" x14ac:dyDescent="0.25">
      <c r="B87" s="140" t="s">
        <v>332</v>
      </c>
      <c r="C87" s="154" t="s">
        <v>244</v>
      </c>
      <c r="D87" s="155" t="s">
        <v>243</v>
      </c>
      <c r="E87" s="156" t="s">
        <v>109</v>
      </c>
      <c r="F87" s="177">
        <f>1*20</f>
        <v>20</v>
      </c>
      <c r="G87" s="177"/>
      <c r="H87" s="157"/>
      <c r="I87" s="145">
        <f>H87*L87</f>
        <v>0</v>
      </c>
      <c r="J87" s="138">
        <f t="shared" si="8"/>
        <v>0</v>
      </c>
      <c r="K87" s="92">
        <f t="shared" si="10"/>
        <v>0</v>
      </c>
      <c r="L87" s="90">
        <f t="shared" si="9"/>
        <v>1.25</v>
      </c>
    </row>
    <row r="88" spans="2:12" ht="63" x14ac:dyDescent="0.25">
      <c r="B88" s="140" t="s">
        <v>358</v>
      </c>
      <c r="C88" s="154" t="s">
        <v>354</v>
      </c>
      <c r="D88" s="155" t="s">
        <v>355</v>
      </c>
      <c r="E88" s="154" t="s">
        <v>176</v>
      </c>
      <c r="F88" s="204">
        <v>14.4</v>
      </c>
      <c r="G88" s="204"/>
      <c r="H88" s="157"/>
      <c r="I88" s="145">
        <f>H88*L88</f>
        <v>0</v>
      </c>
      <c r="J88" s="138">
        <f t="shared" si="8"/>
        <v>0</v>
      </c>
      <c r="K88" s="92">
        <f t="shared" si="10"/>
        <v>0</v>
      </c>
      <c r="L88" s="90">
        <f t="shared" si="9"/>
        <v>1.25</v>
      </c>
    </row>
    <row r="89" spans="2:12" ht="31.5" x14ac:dyDescent="0.25">
      <c r="B89" s="140" t="s">
        <v>359</v>
      </c>
      <c r="C89" s="154" t="s">
        <v>356</v>
      </c>
      <c r="D89" s="155" t="s">
        <v>357</v>
      </c>
      <c r="E89" s="154" t="s">
        <v>176</v>
      </c>
      <c r="F89" s="178">
        <f>F88</f>
        <v>14.4</v>
      </c>
      <c r="G89" s="178"/>
      <c r="H89" s="157"/>
      <c r="I89" s="145">
        <f>H89*L89</f>
        <v>0</v>
      </c>
      <c r="J89" s="138">
        <f t="shared" si="8"/>
        <v>0</v>
      </c>
      <c r="K89" s="92">
        <f t="shared" si="10"/>
        <v>0</v>
      </c>
      <c r="L89" s="90">
        <f t="shared" si="9"/>
        <v>1.25</v>
      </c>
    </row>
    <row r="90" spans="2:12" ht="15.75" x14ac:dyDescent="0.25">
      <c r="B90" s="182"/>
      <c r="C90" s="183"/>
      <c r="D90" s="183"/>
      <c r="E90" s="183"/>
      <c r="F90" s="183"/>
      <c r="G90" s="184"/>
      <c r="H90" s="200" t="s">
        <v>20</v>
      </c>
      <c r="I90" s="200"/>
      <c r="J90" s="138">
        <f>TRUNC(SUM(J64:J89),2)</f>
        <v>0</v>
      </c>
      <c r="K90" s="92">
        <f t="shared" si="10"/>
        <v>0</v>
      </c>
      <c r="L90" s="90">
        <f t="shared" si="9"/>
        <v>1.25</v>
      </c>
    </row>
    <row r="91" spans="2:12" ht="15.75" x14ac:dyDescent="0.25">
      <c r="B91" s="132" t="s">
        <v>18</v>
      </c>
      <c r="C91" s="133" t="s">
        <v>101</v>
      </c>
      <c r="D91" s="174" t="s">
        <v>98</v>
      </c>
      <c r="E91" s="175"/>
      <c r="F91" s="175"/>
      <c r="G91" s="175"/>
      <c r="H91" s="175"/>
      <c r="I91" s="175"/>
      <c r="J91" s="176"/>
      <c r="K91" s="92">
        <f t="shared" si="10"/>
        <v>0</v>
      </c>
      <c r="L91" s="90">
        <f t="shared" si="9"/>
        <v>1.25</v>
      </c>
    </row>
    <row r="92" spans="2:12" ht="47.25" x14ac:dyDescent="0.25">
      <c r="B92" s="149" t="s">
        <v>99</v>
      </c>
      <c r="C92" s="154" t="s">
        <v>360</v>
      </c>
      <c r="D92" s="155" t="s">
        <v>361</v>
      </c>
      <c r="E92" s="139" t="s">
        <v>104</v>
      </c>
      <c r="F92" s="204">
        <v>132</v>
      </c>
      <c r="G92" s="204"/>
      <c r="H92" s="157"/>
      <c r="I92" s="157">
        <f>H92*L92</f>
        <v>0</v>
      </c>
      <c r="J92" s="138">
        <f>TRUNC(I92*F92,2)</f>
        <v>0</v>
      </c>
      <c r="K92" s="92">
        <f t="shared" si="10"/>
        <v>0</v>
      </c>
      <c r="L92" s="90">
        <f t="shared" si="9"/>
        <v>1.25</v>
      </c>
    </row>
    <row r="93" spans="2:12" ht="63" x14ac:dyDescent="0.25">
      <c r="B93" s="149" t="s">
        <v>100</v>
      </c>
      <c r="C93" s="149" t="s">
        <v>103</v>
      </c>
      <c r="D93" s="152" t="s">
        <v>102</v>
      </c>
      <c r="E93" s="139" t="s">
        <v>104</v>
      </c>
      <c r="F93" s="193">
        <f>48*20</f>
        <v>960</v>
      </c>
      <c r="G93" s="194"/>
      <c r="H93" s="159"/>
      <c r="I93" s="145">
        <f>H93*L93</f>
        <v>0</v>
      </c>
      <c r="J93" s="138">
        <f t="shared" ref="J93:J110" si="11">TRUNC(I93*F93,2)</f>
        <v>0</v>
      </c>
      <c r="K93" s="92">
        <f t="shared" si="10"/>
        <v>0</v>
      </c>
      <c r="L93" s="90">
        <f t="shared" si="9"/>
        <v>1.25</v>
      </c>
    </row>
    <row r="94" spans="2:12" ht="63" x14ac:dyDescent="0.25">
      <c r="B94" s="149" t="s">
        <v>115</v>
      </c>
      <c r="C94" s="137" t="s">
        <v>106</v>
      </c>
      <c r="D94" s="136" t="s">
        <v>105</v>
      </c>
      <c r="E94" s="139" t="s">
        <v>104</v>
      </c>
      <c r="F94" s="193">
        <f>87*20</f>
        <v>1740</v>
      </c>
      <c r="G94" s="194"/>
      <c r="H94" s="159"/>
      <c r="I94" s="145">
        <f>H94*L94</f>
        <v>0</v>
      </c>
      <c r="J94" s="138">
        <f t="shared" si="11"/>
        <v>0</v>
      </c>
      <c r="K94" s="92">
        <f t="shared" si="10"/>
        <v>0</v>
      </c>
      <c r="L94" s="90">
        <f t="shared" si="9"/>
        <v>1.25</v>
      </c>
    </row>
    <row r="95" spans="2:12" ht="63" x14ac:dyDescent="0.25">
      <c r="B95" s="149" t="s">
        <v>116</v>
      </c>
      <c r="C95" s="137" t="s">
        <v>108</v>
      </c>
      <c r="D95" s="136" t="s">
        <v>107</v>
      </c>
      <c r="E95" s="139" t="s">
        <v>104</v>
      </c>
      <c r="F95" s="193">
        <f>20*20</f>
        <v>400</v>
      </c>
      <c r="G95" s="194"/>
      <c r="H95" s="159"/>
      <c r="I95" s="145">
        <f>H95*L95</f>
        <v>0</v>
      </c>
      <c r="J95" s="138">
        <f t="shared" si="11"/>
        <v>0</v>
      </c>
      <c r="K95" s="92">
        <f t="shared" si="10"/>
        <v>0</v>
      </c>
      <c r="L95" s="90">
        <f t="shared" si="9"/>
        <v>1.25</v>
      </c>
    </row>
    <row r="96" spans="2:12" ht="63" x14ac:dyDescent="0.25">
      <c r="B96" s="149" t="s">
        <v>117</v>
      </c>
      <c r="C96" s="137" t="s">
        <v>320</v>
      </c>
      <c r="D96" s="136" t="s">
        <v>319</v>
      </c>
      <c r="E96" s="139" t="s">
        <v>104</v>
      </c>
      <c r="F96" s="193">
        <f>40*20</f>
        <v>800</v>
      </c>
      <c r="G96" s="194"/>
      <c r="H96" s="159"/>
      <c r="I96" s="145">
        <f>H96*L96</f>
        <v>0</v>
      </c>
      <c r="J96" s="138">
        <f t="shared" si="11"/>
        <v>0</v>
      </c>
      <c r="K96" s="92">
        <f t="shared" si="10"/>
        <v>0</v>
      </c>
      <c r="L96" s="90">
        <f t="shared" si="9"/>
        <v>1.25</v>
      </c>
    </row>
    <row r="97" spans="2:12" ht="47.25" x14ac:dyDescent="0.25">
      <c r="B97" s="149" t="s">
        <v>118</v>
      </c>
      <c r="C97" s="137" t="s">
        <v>301</v>
      </c>
      <c r="D97" s="136" t="s">
        <v>300</v>
      </c>
      <c r="E97" s="139" t="s">
        <v>109</v>
      </c>
      <c r="F97" s="199">
        <f>1*20</f>
        <v>20</v>
      </c>
      <c r="G97" s="199"/>
      <c r="H97" s="159"/>
      <c r="I97" s="145">
        <f>H97*L97</f>
        <v>0</v>
      </c>
      <c r="J97" s="138">
        <f t="shared" si="11"/>
        <v>0</v>
      </c>
      <c r="K97" s="92">
        <f t="shared" si="10"/>
        <v>0</v>
      </c>
      <c r="L97" s="90">
        <f t="shared" si="9"/>
        <v>1.25</v>
      </c>
    </row>
    <row r="98" spans="2:12" ht="47.25" x14ac:dyDescent="0.25">
      <c r="B98" s="149" t="s">
        <v>119</v>
      </c>
      <c r="C98" s="137" t="s">
        <v>302</v>
      </c>
      <c r="D98" s="136" t="s">
        <v>303</v>
      </c>
      <c r="E98" s="139" t="s">
        <v>109</v>
      </c>
      <c r="F98" s="199">
        <f>1*20</f>
        <v>20</v>
      </c>
      <c r="G98" s="199"/>
      <c r="H98" s="159"/>
      <c r="I98" s="145">
        <f>H98*L98</f>
        <v>0</v>
      </c>
      <c r="J98" s="138">
        <f t="shared" si="11"/>
        <v>0</v>
      </c>
      <c r="K98" s="92">
        <f t="shared" si="10"/>
        <v>0</v>
      </c>
      <c r="L98" s="90">
        <f t="shared" si="9"/>
        <v>1.25</v>
      </c>
    </row>
    <row r="99" spans="2:12" ht="47.25" x14ac:dyDescent="0.25">
      <c r="B99" s="149" t="s">
        <v>120</v>
      </c>
      <c r="C99" s="137" t="s">
        <v>111</v>
      </c>
      <c r="D99" s="136" t="s">
        <v>110</v>
      </c>
      <c r="E99" s="139" t="s">
        <v>109</v>
      </c>
      <c r="F99" s="199">
        <f>1*20</f>
        <v>20</v>
      </c>
      <c r="G99" s="199"/>
      <c r="H99" s="159"/>
      <c r="I99" s="145">
        <f>H99*L99</f>
        <v>0</v>
      </c>
      <c r="J99" s="138">
        <f t="shared" si="11"/>
        <v>0</v>
      </c>
      <c r="K99" s="92">
        <f t="shared" si="10"/>
        <v>0</v>
      </c>
      <c r="L99" s="90">
        <f t="shared" si="9"/>
        <v>1.25</v>
      </c>
    </row>
    <row r="100" spans="2:12" ht="47.25" x14ac:dyDescent="0.25">
      <c r="B100" s="149" t="s">
        <v>121</v>
      </c>
      <c r="C100" s="137" t="s">
        <v>298</v>
      </c>
      <c r="D100" s="136" t="s">
        <v>297</v>
      </c>
      <c r="E100" s="139" t="s">
        <v>109</v>
      </c>
      <c r="F100" s="199">
        <f>1*20</f>
        <v>20</v>
      </c>
      <c r="G100" s="199"/>
      <c r="H100" s="159"/>
      <c r="I100" s="145">
        <f>H100*L100</f>
        <v>0</v>
      </c>
      <c r="J100" s="138">
        <f t="shared" si="11"/>
        <v>0</v>
      </c>
      <c r="K100" s="92">
        <f t="shared" si="10"/>
        <v>0</v>
      </c>
      <c r="L100" s="90">
        <f t="shared" si="9"/>
        <v>1.25</v>
      </c>
    </row>
    <row r="101" spans="2:12" ht="47.25" x14ac:dyDescent="0.25">
      <c r="B101" s="149" t="s">
        <v>122</v>
      </c>
      <c r="C101" s="137" t="s">
        <v>113</v>
      </c>
      <c r="D101" s="136" t="s">
        <v>112</v>
      </c>
      <c r="E101" s="139" t="s">
        <v>109</v>
      </c>
      <c r="F101" s="199">
        <f>1*20</f>
        <v>20</v>
      </c>
      <c r="G101" s="199"/>
      <c r="H101" s="159"/>
      <c r="I101" s="145">
        <f>H101*L101</f>
        <v>0</v>
      </c>
      <c r="J101" s="138">
        <f t="shared" si="11"/>
        <v>0</v>
      </c>
      <c r="K101" s="92">
        <f t="shared" si="10"/>
        <v>0</v>
      </c>
      <c r="L101" s="90">
        <f t="shared" si="9"/>
        <v>1.25</v>
      </c>
    </row>
    <row r="102" spans="2:12" ht="15.75" customHeight="1" x14ac:dyDescent="0.25">
      <c r="B102" s="149" t="s">
        <v>123</v>
      </c>
      <c r="C102" s="137" t="s">
        <v>114</v>
      </c>
      <c r="D102" s="136" t="s">
        <v>128</v>
      </c>
      <c r="E102" s="139" t="s">
        <v>109</v>
      </c>
      <c r="F102" s="199">
        <f>4*20</f>
        <v>80</v>
      </c>
      <c r="G102" s="199"/>
      <c r="H102" s="159"/>
      <c r="I102" s="145">
        <f>H102*L102</f>
        <v>0</v>
      </c>
      <c r="J102" s="138">
        <f t="shared" si="11"/>
        <v>0</v>
      </c>
      <c r="K102" s="92">
        <f t="shared" si="10"/>
        <v>0</v>
      </c>
      <c r="L102" s="90">
        <f t="shared" si="9"/>
        <v>1.25</v>
      </c>
    </row>
    <row r="103" spans="2:12" ht="63" x14ac:dyDescent="0.25">
      <c r="B103" s="149" t="s">
        <v>124</v>
      </c>
      <c r="C103" s="137" t="s">
        <v>130</v>
      </c>
      <c r="D103" s="136" t="s">
        <v>129</v>
      </c>
      <c r="E103" s="139" t="s">
        <v>109</v>
      </c>
      <c r="F103" s="199">
        <f>3*20</f>
        <v>60</v>
      </c>
      <c r="G103" s="199"/>
      <c r="H103" s="159"/>
      <c r="I103" s="145">
        <f>H103*L103</f>
        <v>0</v>
      </c>
      <c r="J103" s="138">
        <f t="shared" si="11"/>
        <v>0</v>
      </c>
      <c r="K103" s="92">
        <f t="shared" si="10"/>
        <v>0</v>
      </c>
      <c r="L103" s="90">
        <f t="shared" si="9"/>
        <v>1.25</v>
      </c>
    </row>
    <row r="104" spans="2:12" ht="47.25" x14ac:dyDescent="0.25">
      <c r="B104" s="149" t="s">
        <v>125</v>
      </c>
      <c r="C104" s="137" t="s">
        <v>132</v>
      </c>
      <c r="D104" s="136" t="s">
        <v>131</v>
      </c>
      <c r="E104" s="139" t="s">
        <v>109</v>
      </c>
      <c r="F104" s="199">
        <f>30*20</f>
        <v>600</v>
      </c>
      <c r="G104" s="199"/>
      <c r="H104" s="159"/>
      <c r="I104" s="145">
        <f>H104*L104</f>
        <v>0</v>
      </c>
      <c r="J104" s="138">
        <f t="shared" si="11"/>
        <v>0</v>
      </c>
      <c r="K104" s="92">
        <f t="shared" si="10"/>
        <v>0</v>
      </c>
      <c r="L104" s="90">
        <f t="shared" si="9"/>
        <v>1.25</v>
      </c>
    </row>
    <row r="105" spans="2:12" ht="31.5" x14ac:dyDescent="0.25">
      <c r="B105" s="149" t="s">
        <v>126</v>
      </c>
      <c r="C105" s="137" t="s">
        <v>134</v>
      </c>
      <c r="D105" s="136" t="s">
        <v>133</v>
      </c>
      <c r="E105" s="139" t="s">
        <v>109</v>
      </c>
      <c r="F105" s="199">
        <f>2*20</f>
        <v>40</v>
      </c>
      <c r="G105" s="199"/>
      <c r="H105" s="159"/>
      <c r="I105" s="145">
        <f>H105*L105</f>
        <v>0</v>
      </c>
      <c r="J105" s="138">
        <f t="shared" si="11"/>
        <v>0</v>
      </c>
      <c r="K105" s="92">
        <f t="shared" si="10"/>
        <v>0</v>
      </c>
      <c r="L105" s="90">
        <f t="shared" si="9"/>
        <v>1.25</v>
      </c>
    </row>
    <row r="106" spans="2:12" ht="31.5" x14ac:dyDescent="0.25">
      <c r="B106" s="149" t="s">
        <v>127</v>
      </c>
      <c r="C106" s="137" t="s">
        <v>136</v>
      </c>
      <c r="D106" s="136" t="s">
        <v>135</v>
      </c>
      <c r="E106" s="139" t="s">
        <v>109</v>
      </c>
      <c r="F106" s="199">
        <f>7*20</f>
        <v>140</v>
      </c>
      <c r="G106" s="199"/>
      <c r="H106" s="159"/>
      <c r="I106" s="145">
        <f>H106*L106</f>
        <v>0</v>
      </c>
      <c r="J106" s="138">
        <f t="shared" si="11"/>
        <v>0</v>
      </c>
      <c r="K106" s="92">
        <f t="shared" si="10"/>
        <v>0</v>
      </c>
      <c r="L106" s="90">
        <f t="shared" si="9"/>
        <v>1.25</v>
      </c>
    </row>
    <row r="107" spans="2:12" ht="31.5" x14ac:dyDescent="0.25">
      <c r="B107" s="149" t="s">
        <v>270</v>
      </c>
      <c r="C107" s="137" t="s">
        <v>138</v>
      </c>
      <c r="D107" s="136" t="s">
        <v>137</v>
      </c>
      <c r="E107" s="139" t="s">
        <v>109</v>
      </c>
      <c r="F107" s="199">
        <f>1*20</f>
        <v>20</v>
      </c>
      <c r="G107" s="199"/>
      <c r="H107" s="159"/>
      <c r="I107" s="145">
        <f>H107*L107</f>
        <v>0</v>
      </c>
      <c r="J107" s="138">
        <f t="shared" si="11"/>
        <v>0</v>
      </c>
      <c r="K107" s="92">
        <f t="shared" si="10"/>
        <v>0</v>
      </c>
      <c r="L107" s="90">
        <f t="shared" si="9"/>
        <v>1.25</v>
      </c>
    </row>
    <row r="108" spans="2:12" ht="31.5" x14ac:dyDescent="0.25">
      <c r="B108" s="149" t="s">
        <v>271</v>
      </c>
      <c r="C108" s="137" t="s">
        <v>140</v>
      </c>
      <c r="D108" s="136" t="s">
        <v>139</v>
      </c>
      <c r="E108" s="139" t="s">
        <v>141</v>
      </c>
      <c r="F108" s="199">
        <f>1*20</f>
        <v>20</v>
      </c>
      <c r="G108" s="199"/>
      <c r="H108" s="159"/>
      <c r="I108" s="145">
        <f>H108*L108</f>
        <v>0</v>
      </c>
      <c r="J108" s="138">
        <f t="shared" si="11"/>
        <v>0</v>
      </c>
      <c r="K108" s="92">
        <f t="shared" si="10"/>
        <v>0</v>
      </c>
      <c r="L108" s="90">
        <f t="shared" si="9"/>
        <v>1.25</v>
      </c>
    </row>
    <row r="109" spans="2:12" ht="47.25" x14ac:dyDescent="0.25">
      <c r="B109" s="149" t="s">
        <v>272</v>
      </c>
      <c r="C109" s="137" t="s">
        <v>144</v>
      </c>
      <c r="D109" s="136" t="s">
        <v>143</v>
      </c>
      <c r="E109" s="139" t="s">
        <v>109</v>
      </c>
      <c r="F109" s="199">
        <f>20*20</f>
        <v>400</v>
      </c>
      <c r="G109" s="199"/>
      <c r="H109" s="159"/>
      <c r="I109" s="145">
        <f>H109*L109</f>
        <v>0</v>
      </c>
      <c r="J109" s="138">
        <f t="shared" si="11"/>
        <v>0</v>
      </c>
      <c r="K109" s="92">
        <f t="shared" si="10"/>
        <v>0</v>
      </c>
      <c r="L109" s="90">
        <f t="shared" si="9"/>
        <v>1.25</v>
      </c>
    </row>
    <row r="110" spans="2:12" ht="47.25" x14ac:dyDescent="0.25">
      <c r="B110" s="149" t="s">
        <v>362</v>
      </c>
      <c r="C110" s="137" t="s">
        <v>142</v>
      </c>
      <c r="D110" s="136" t="s">
        <v>145</v>
      </c>
      <c r="E110" s="139" t="s">
        <v>109</v>
      </c>
      <c r="F110" s="199">
        <f>1*20</f>
        <v>20</v>
      </c>
      <c r="G110" s="199"/>
      <c r="H110" s="159"/>
      <c r="I110" s="145">
        <f>H110*L110</f>
        <v>0</v>
      </c>
      <c r="J110" s="138">
        <f t="shared" si="11"/>
        <v>0</v>
      </c>
      <c r="K110" s="92">
        <f t="shared" si="10"/>
        <v>0</v>
      </c>
      <c r="L110" s="90">
        <f t="shared" si="9"/>
        <v>1.25</v>
      </c>
    </row>
    <row r="111" spans="2:12" ht="15.75" x14ac:dyDescent="0.25">
      <c r="B111" s="182" t="s">
        <v>50</v>
      </c>
      <c r="C111" s="183"/>
      <c r="D111" s="183"/>
      <c r="E111" s="183"/>
      <c r="F111" s="183"/>
      <c r="G111" s="184"/>
      <c r="H111" s="172" t="s">
        <v>20</v>
      </c>
      <c r="I111" s="173"/>
      <c r="J111" s="161">
        <f>TRUNC(SUM(J92:J110),2)</f>
        <v>0</v>
      </c>
      <c r="K111" s="92">
        <f t="shared" si="10"/>
        <v>0</v>
      </c>
      <c r="L111" s="90">
        <f t="shared" si="9"/>
        <v>1.25</v>
      </c>
    </row>
    <row r="112" spans="2:12" ht="15.75" x14ac:dyDescent="0.25">
      <c r="B112" s="132" t="s">
        <v>273</v>
      </c>
      <c r="C112" s="133" t="s">
        <v>190</v>
      </c>
      <c r="D112" s="174" t="s">
        <v>189</v>
      </c>
      <c r="E112" s="175"/>
      <c r="F112" s="175"/>
      <c r="G112" s="175"/>
      <c r="H112" s="175"/>
      <c r="I112" s="175"/>
      <c r="J112" s="176"/>
      <c r="K112" s="92">
        <f t="shared" ref="K112:K124" si="12">$J$123</f>
        <v>0</v>
      </c>
      <c r="L112" s="90">
        <f t="shared" si="9"/>
        <v>1.25</v>
      </c>
    </row>
    <row r="113" spans="1:34" ht="78.75" x14ac:dyDescent="0.25">
      <c r="B113" s="140" t="s">
        <v>274</v>
      </c>
      <c r="C113" s="154" t="s">
        <v>198</v>
      </c>
      <c r="D113" s="155" t="s">
        <v>197</v>
      </c>
      <c r="E113" s="156" t="s">
        <v>109</v>
      </c>
      <c r="F113" s="177">
        <f>1*20</f>
        <v>20</v>
      </c>
      <c r="G113" s="177"/>
      <c r="H113" s="157"/>
      <c r="I113" s="145">
        <f>H113*L113</f>
        <v>0</v>
      </c>
      <c r="J113" s="138">
        <f>TRUNC(I113*F113,2)</f>
        <v>0</v>
      </c>
      <c r="K113" s="92">
        <f t="shared" si="12"/>
        <v>0</v>
      </c>
      <c r="L113" s="90">
        <f t="shared" si="9"/>
        <v>1.25</v>
      </c>
    </row>
    <row r="114" spans="1:34" ht="94.5" x14ac:dyDescent="0.25">
      <c r="B114" s="140" t="s">
        <v>275</v>
      </c>
      <c r="C114" s="154" t="s">
        <v>200</v>
      </c>
      <c r="D114" s="155" t="s">
        <v>199</v>
      </c>
      <c r="E114" s="156" t="s">
        <v>109</v>
      </c>
      <c r="F114" s="177">
        <f>1*20</f>
        <v>20</v>
      </c>
      <c r="G114" s="177"/>
      <c r="H114" s="157"/>
      <c r="I114" s="145">
        <f>H114*L114</f>
        <v>0</v>
      </c>
      <c r="J114" s="138">
        <f t="shared" ref="J114:J117" si="13">TRUNC(I114*F114,2)</f>
        <v>0</v>
      </c>
      <c r="K114" s="92">
        <f t="shared" si="12"/>
        <v>0</v>
      </c>
      <c r="L114" s="90">
        <f t="shared" si="9"/>
        <v>1.25</v>
      </c>
    </row>
    <row r="115" spans="1:34" ht="110.25" x14ac:dyDescent="0.25">
      <c r="B115" s="140" t="s">
        <v>372</v>
      </c>
      <c r="C115" s="154" t="s">
        <v>210</v>
      </c>
      <c r="D115" s="155" t="s">
        <v>209</v>
      </c>
      <c r="E115" s="156" t="s">
        <v>109</v>
      </c>
      <c r="F115" s="177">
        <f>1*20</f>
        <v>20</v>
      </c>
      <c r="G115" s="177"/>
      <c r="H115" s="157"/>
      <c r="I115" s="145">
        <f>H115*L115</f>
        <v>0</v>
      </c>
      <c r="J115" s="138">
        <f t="shared" si="13"/>
        <v>0</v>
      </c>
      <c r="K115" s="92">
        <f t="shared" si="12"/>
        <v>0</v>
      </c>
      <c r="L115" s="90">
        <f t="shared" si="9"/>
        <v>1.25</v>
      </c>
    </row>
    <row r="116" spans="1:34" ht="94.5" x14ac:dyDescent="0.25">
      <c r="B116" s="140" t="s">
        <v>276</v>
      </c>
      <c r="C116" s="154" t="s">
        <v>206</v>
      </c>
      <c r="D116" s="155" t="s">
        <v>205</v>
      </c>
      <c r="E116" s="156" t="s">
        <v>109</v>
      </c>
      <c r="F116" s="177">
        <f>1*20</f>
        <v>20</v>
      </c>
      <c r="G116" s="177"/>
      <c r="H116" s="157"/>
      <c r="I116" s="145">
        <f>H116*L116</f>
        <v>0</v>
      </c>
      <c r="J116" s="138">
        <f t="shared" si="13"/>
        <v>0</v>
      </c>
      <c r="K116" s="92">
        <f t="shared" si="12"/>
        <v>0</v>
      </c>
      <c r="L116" s="90">
        <f t="shared" si="9"/>
        <v>1.25</v>
      </c>
    </row>
    <row r="117" spans="1:34" ht="31.5" x14ac:dyDescent="0.25">
      <c r="B117" s="140" t="s">
        <v>277</v>
      </c>
      <c r="C117" s="154" t="s">
        <v>333</v>
      </c>
      <c r="D117" s="155" t="s">
        <v>343</v>
      </c>
      <c r="E117" s="156" t="s">
        <v>109</v>
      </c>
      <c r="F117" s="177">
        <f>2*9</f>
        <v>18</v>
      </c>
      <c r="G117" s="177"/>
      <c r="H117" s="157"/>
      <c r="I117" s="145">
        <f>H117*L117</f>
        <v>0</v>
      </c>
      <c r="J117" s="138">
        <f t="shared" si="13"/>
        <v>0</v>
      </c>
      <c r="K117" s="92">
        <f t="shared" si="12"/>
        <v>0</v>
      </c>
      <c r="L117" s="90">
        <f t="shared" si="9"/>
        <v>1.25</v>
      </c>
    </row>
    <row r="118" spans="1:34" ht="15.75" x14ac:dyDescent="0.25">
      <c r="B118" s="182"/>
      <c r="C118" s="183"/>
      <c r="D118" s="183"/>
      <c r="E118" s="183"/>
      <c r="F118" s="183"/>
      <c r="G118" s="184"/>
      <c r="H118" s="200" t="s">
        <v>20</v>
      </c>
      <c r="I118" s="200"/>
      <c r="J118" s="138">
        <f>TRUNC(SUM(J113:J117),2)</f>
        <v>0</v>
      </c>
      <c r="K118" s="92">
        <f t="shared" si="12"/>
        <v>0</v>
      </c>
      <c r="L118" s="90">
        <f t="shared" si="9"/>
        <v>1.25</v>
      </c>
    </row>
    <row r="119" spans="1:34" ht="15.75" x14ac:dyDescent="0.25">
      <c r="B119" s="132" t="s">
        <v>278</v>
      </c>
      <c r="C119" s="132" t="s">
        <v>191</v>
      </c>
      <c r="D119" s="201" t="s">
        <v>192</v>
      </c>
      <c r="E119" s="202"/>
      <c r="F119" s="202"/>
      <c r="G119" s="202"/>
      <c r="H119" s="202"/>
      <c r="I119" s="202"/>
      <c r="J119" s="203"/>
      <c r="K119" s="92">
        <f t="shared" si="12"/>
        <v>0</v>
      </c>
      <c r="L119" s="90">
        <f t="shared" si="9"/>
        <v>1.25</v>
      </c>
    </row>
    <row r="120" spans="1:34" ht="31.5" x14ac:dyDescent="0.25">
      <c r="B120" s="140" t="s">
        <v>279</v>
      </c>
      <c r="C120" s="154" t="s">
        <v>193</v>
      </c>
      <c r="D120" s="155" t="s">
        <v>194</v>
      </c>
      <c r="E120" s="156" t="s">
        <v>147</v>
      </c>
      <c r="F120" s="177">
        <f>41.25*20</f>
        <v>825</v>
      </c>
      <c r="G120" s="177"/>
      <c r="H120" s="157"/>
      <c r="I120" s="145">
        <f>H120*L120</f>
        <v>0</v>
      </c>
      <c r="J120" s="138">
        <f>TRUNC(I120*F120,2)</f>
        <v>0</v>
      </c>
      <c r="K120" s="92">
        <f t="shared" si="12"/>
        <v>0</v>
      </c>
      <c r="L120" s="90">
        <f t="shared" si="9"/>
        <v>1.25</v>
      </c>
    </row>
    <row r="121" spans="1:34" ht="31.5" x14ac:dyDescent="0.25">
      <c r="B121" s="140" t="s">
        <v>280</v>
      </c>
      <c r="C121" s="154" t="s">
        <v>195</v>
      </c>
      <c r="D121" s="162" t="s">
        <v>196</v>
      </c>
      <c r="E121" s="156" t="s">
        <v>176</v>
      </c>
      <c r="F121" s="177">
        <v>120</v>
      </c>
      <c r="G121" s="177"/>
      <c r="H121" s="157"/>
      <c r="I121" s="145">
        <f>H121*L121</f>
        <v>0</v>
      </c>
      <c r="J121" s="138">
        <f>TRUNC(I121*F121,2)</f>
        <v>0</v>
      </c>
      <c r="K121" s="92">
        <f t="shared" si="12"/>
        <v>0</v>
      </c>
      <c r="L121" s="90">
        <f t="shared" si="9"/>
        <v>1.25</v>
      </c>
    </row>
    <row r="122" spans="1:34" ht="15.75" x14ac:dyDescent="0.25">
      <c r="B122" s="182"/>
      <c r="C122" s="183"/>
      <c r="D122" s="183"/>
      <c r="E122" s="183"/>
      <c r="F122" s="183"/>
      <c r="G122" s="184"/>
      <c r="H122" s="200" t="s">
        <v>20</v>
      </c>
      <c r="I122" s="200"/>
      <c r="J122" s="138">
        <f>TRUNC(SUM(J120:J121),2)</f>
        <v>0</v>
      </c>
      <c r="K122" s="92">
        <f t="shared" si="12"/>
        <v>0</v>
      </c>
      <c r="L122" s="90">
        <f t="shared" si="9"/>
        <v>1.25</v>
      </c>
    </row>
    <row r="123" spans="1:34" ht="20.100000000000001" customHeight="1" x14ac:dyDescent="0.25">
      <c r="B123" s="195" t="s">
        <v>12</v>
      </c>
      <c r="C123" s="196"/>
      <c r="D123" s="196"/>
      <c r="E123" s="196"/>
      <c r="F123" s="196"/>
      <c r="G123" s="196"/>
      <c r="H123" s="196"/>
      <c r="I123" s="197"/>
      <c r="J123" s="123">
        <f>TRUNC(SUM(J46+J31+J25+J111+J38+J53+J90+J118+J122+J62),2)</f>
        <v>0</v>
      </c>
      <c r="K123" s="92">
        <f t="shared" si="12"/>
        <v>0</v>
      </c>
      <c r="L123" s="90">
        <f t="shared" si="9"/>
        <v>1.25</v>
      </c>
    </row>
    <row r="124" spans="1:34" ht="15.75" x14ac:dyDescent="0.25">
      <c r="B124" s="2"/>
      <c r="C124" s="2"/>
      <c r="D124" s="103"/>
      <c r="E124" s="2"/>
      <c r="F124" s="104"/>
      <c r="G124" s="104"/>
      <c r="H124" s="104"/>
      <c r="I124" s="104"/>
      <c r="J124" s="105"/>
      <c r="K124" s="92">
        <f t="shared" si="12"/>
        <v>0</v>
      </c>
      <c r="L124" s="90">
        <f t="shared" si="9"/>
        <v>1.25</v>
      </c>
    </row>
    <row r="125" spans="1:34" ht="15" customHeight="1" x14ac:dyDescent="0.25">
      <c r="A125" s="106"/>
      <c r="B125" s="126"/>
      <c r="C125" s="126"/>
      <c r="D125" s="107"/>
      <c r="E125" s="126"/>
      <c r="F125" s="108"/>
      <c r="G125" s="5"/>
      <c r="H125" s="5"/>
      <c r="I125" s="198"/>
      <c r="J125" s="198"/>
      <c r="K125" s="14"/>
      <c r="L125" s="13"/>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row>
    <row r="126" spans="1:34" ht="15" customHeight="1" x14ac:dyDescent="0.25">
      <c r="A126" s="106"/>
      <c r="B126" s="164"/>
      <c r="C126" s="164"/>
      <c r="D126" s="107"/>
      <c r="E126" s="164"/>
      <c r="F126" s="108"/>
      <c r="G126" s="5"/>
      <c r="H126" s="5"/>
      <c r="I126" s="163"/>
      <c r="J126" s="163"/>
      <c r="K126" s="14"/>
      <c r="L126" s="13"/>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row>
    <row r="127" spans="1:34" ht="15" customHeight="1" x14ac:dyDescent="0.25">
      <c r="A127" s="106"/>
      <c r="B127" s="164"/>
      <c r="C127" s="164"/>
      <c r="D127" s="107"/>
      <c r="E127" s="164"/>
      <c r="F127" s="108"/>
      <c r="G127" s="5"/>
      <c r="H127" s="5"/>
      <c r="I127" s="163"/>
      <c r="J127" s="163"/>
      <c r="K127" s="14"/>
      <c r="L127" s="13"/>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row>
    <row r="128" spans="1:34" ht="15" customHeight="1" x14ac:dyDescent="0.25">
      <c r="A128" s="106"/>
      <c r="B128" s="164"/>
      <c r="C128" s="164"/>
      <c r="D128" s="107"/>
      <c r="E128" s="164"/>
      <c r="F128" s="108"/>
      <c r="G128" s="5"/>
      <c r="H128" s="5"/>
      <c r="I128" s="163"/>
      <c r="J128" s="163"/>
      <c r="K128" s="14"/>
      <c r="L128" s="13"/>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row>
    <row r="129" spans="1:34" ht="15" customHeight="1" x14ac:dyDescent="0.25">
      <c r="A129" s="106"/>
      <c r="B129" s="164"/>
      <c r="C129" s="164"/>
      <c r="D129" s="107"/>
      <c r="E129" s="164"/>
      <c r="F129" s="108"/>
      <c r="G129" s="5"/>
      <c r="H129" s="5"/>
      <c r="I129" s="163"/>
      <c r="J129" s="163"/>
      <c r="K129" s="14"/>
      <c r="L129" s="13"/>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row>
    <row r="130" spans="1:34" ht="15" customHeight="1" x14ac:dyDescent="0.25">
      <c r="A130" s="106"/>
      <c r="B130" s="164"/>
      <c r="C130" s="164"/>
      <c r="D130" s="107"/>
      <c r="E130" s="164"/>
      <c r="F130" s="108"/>
      <c r="G130" s="5"/>
      <c r="H130" s="5"/>
      <c r="I130" s="163"/>
      <c r="J130" s="163"/>
      <c r="K130" s="14"/>
      <c r="L130" s="13"/>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row>
    <row r="131" spans="1:34" ht="15" customHeight="1" x14ac:dyDescent="0.25">
      <c r="A131" s="106"/>
      <c r="B131" s="164"/>
      <c r="C131" s="164"/>
      <c r="D131" s="107"/>
      <c r="E131" s="164"/>
      <c r="F131" s="108"/>
      <c r="G131" s="5"/>
      <c r="H131" s="5"/>
      <c r="I131" s="163"/>
      <c r="J131" s="163"/>
      <c r="K131" s="14"/>
      <c r="L131" s="13"/>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row>
    <row r="132" spans="1:34" ht="15" customHeight="1" x14ac:dyDescent="0.25">
      <c r="A132" s="106"/>
      <c r="B132" s="164"/>
      <c r="C132" s="164"/>
      <c r="D132" s="107"/>
      <c r="E132" s="164"/>
      <c r="F132" s="108"/>
      <c r="G132" s="5"/>
      <c r="H132" s="5"/>
      <c r="I132" s="163"/>
      <c r="J132" s="163"/>
      <c r="K132" s="14"/>
      <c r="L132" s="13"/>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row>
    <row r="133" spans="1:34" ht="15" customHeight="1" x14ac:dyDescent="0.25">
      <c r="A133" s="106"/>
      <c r="B133" s="164"/>
      <c r="C133" s="164"/>
      <c r="D133" s="107"/>
      <c r="E133" s="164"/>
      <c r="F133" s="108"/>
      <c r="G133" s="5"/>
      <c r="H133" s="5"/>
      <c r="I133" s="163"/>
      <c r="J133" s="163"/>
      <c r="K133" s="14"/>
      <c r="L133" s="13"/>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row>
    <row r="134" spans="1:34" s="169" customFormat="1" ht="15" customHeight="1" x14ac:dyDescent="0.25">
      <c r="A134" s="168"/>
      <c r="B134" s="165"/>
      <c r="C134" s="165"/>
      <c r="D134" s="107"/>
      <c r="E134" s="165"/>
      <c r="F134" s="108"/>
      <c r="G134" s="5"/>
      <c r="H134" s="5"/>
      <c r="I134" s="166"/>
      <c r="J134" s="166"/>
      <c r="K134" s="14"/>
      <c r="L134" s="13"/>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row>
    <row r="135" spans="1:34" s="169" customFormat="1" ht="15" customHeight="1" x14ac:dyDescent="0.25">
      <c r="A135" s="168"/>
      <c r="B135" s="165"/>
      <c r="C135" s="165"/>
      <c r="D135" s="107"/>
      <c r="E135" s="165"/>
      <c r="F135" s="108"/>
      <c r="G135" s="5"/>
      <c r="H135" s="5"/>
      <c r="I135" s="166"/>
      <c r="J135" s="166"/>
      <c r="K135" s="14"/>
      <c r="L135" s="13"/>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row>
    <row r="136" spans="1:34" s="169" customFormat="1" ht="15" customHeight="1" x14ac:dyDescent="0.25">
      <c r="A136" s="168"/>
      <c r="B136" s="165"/>
      <c r="C136" s="165"/>
      <c r="D136" s="107"/>
      <c r="E136" s="165"/>
      <c r="F136" s="108"/>
      <c r="G136" s="5"/>
      <c r="H136" s="5"/>
      <c r="I136" s="166"/>
      <c r="J136" s="166"/>
      <c r="K136" s="14"/>
      <c r="L136" s="13"/>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row>
    <row r="137" spans="1:34" s="169" customFormat="1" ht="15" customHeight="1" x14ac:dyDescent="0.25">
      <c r="A137" s="168"/>
      <c r="B137" s="165"/>
      <c r="C137" s="165"/>
      <c r="D137" s="107"/>
      <c r="E137" s="165"/>
      <c r="F137" s="108"/>
      <c r="G137" s="5"/>
      <c r="H137" s="5"/>
      <c r="I137" s="166"/>
      <c r="J137" s="166"/>
      <c r="K137" s="14"/>
      <c r="L137" s="13"/>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row>
    <row r="138" spans="1:34" s="169" customFormat="1" ht="15" customHeight="1" x14ac:dyDescent="0.25">
      <c r="A138" s="168"/>
      <c r="B138" s="165"/>
      <c r="C138" s="165"/>
      <c r="D138" s="107"/>
      <c r="E138" s="165"/>
      <c r="F138" s="108"/>
      <c r="G138" s="5"/>
      <c r="H138" s="5"/>
      <c r="I138" s="166"/>
      <c r="J138" s="166"/>
      <c r="K138" s="14"/>
      <c r="L138" s="13"/>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row>
    <row r="139" spans="1:34" s="169" customFormat="1" ht="15" customHeight="1" x14ac:dyDescent="0.25">
      <c r="A139" s="168"/>
      <c r="B139" s="165"/>
      <c r="C139" s="165"/>
      <c r="D139" s="107"/>
      <c r="E139" s="165"/>
      <c r="F139" s="108"/>
      <c r="G139" s="5"/>
      <c r="H139" s="5"/>
      <c r="I139" s="166"/>
      <c r="J139" s="166"/>
      <c r="K139" s="14"/>
      <c r="L139" s="13"/>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row>
    <row r="140" spans="1:34" s="169" customFormat="1" ht="15" customHeight="1" x14ac:dyDescent="0.25">
      <c r="A140" s="168"/>
      <c r="B140" s="165"/>
      <c r="C140" s="165"/>
      <c r="D140" s="107"/>
      <c r="E140" s="165"/>
      <c r="F140" s="108"/>
      <c r="G140" s="5"/>
      <c r="H140" s="5"/>
      <c r="I140" s="166"/>
      <c r="J140" s="166"/>
      <c r="K140" s="14"/>
      <c r="L140" s="13"/>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row>
    <row r="141" spans="1:34" s="169" customFormat="1" ht="15" customHeight="1" x14ac:dyDescent="0.25">
      <c r="A141" s="168"/>
      <c r="B141" s="165"/>
      <c r="C141" s="165"/>
      <c r="D141" s="107"/>
      <c r="E141" s="165"/>
      <c r="F141" s="108"/>
      <c r="G141" s="5"/>
      <c r="H141" s="5"/>
      <c r="I141" s="166"/>
      <c r="J141" s="166"/>
      <c r="K141" s="14"/>
      <c r="L141" s="13"/>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row>
    <row r="142" spans="1:34" s="169" customFormat="1" ht="15" customHeight="1" x14ac:dyDescent="0.25">
      <c r="A142" s="168"/>
      <c r="B142" s="165"/>
      <c r="C142" s="165"/>
      <c r="D142" s="107"/>
      <c r="E142" s="165"/>
      <c r="F142" s="108"/>
      <c r="G142" s="5"/>
      <c r="H142" s="5"/>
      <c r="I142" s="166"/>
      <c r="J142" s="166"/>
      <c r="K142" s="14"/>
      <c r="L142" s="13"/>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row>
    <row r="143" spans="1:34" s="169" customFormat="1" ht="15" customHeight="1" x14ac:dyDescent="0.25">
      <c r="A143" s="168"/>
      <c r="B143" s="165"/>
      <c r="C143" s="165"/>
      <c r="D143" s="107"/>
      <c r="E143" s="165"/>
      <c r="F143" s="108"/>
      <c r="G143" s="5"/>
      <c r="H143" s="5"/>
      <c r="I143" s="166"/>
      <c r="J143" s="166"/>
      <c r="K143" s="14"/>
      <c r="L143" s="13"/>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row>
    <row r="144" spans="1:34" s="169" customFormat="1" ht="15" customHeight="1" x14ac:dyDescent="0.25">
      <c r="A144" s="168"/>
      <c r="B144" s="165"/>
      <c r="C144" s="165"/>
      <c r="D144" s="107"/>
      <c r="E144" s="165"/>
      <c r="F144" s="108"/>
      <c r="G144" s="5"/>
      <c r="H144" s="5"/>
      <c r="I144" s="166"/>
      <c r="J144" s="166"/>
      <c r="K144" s="14"/>
      <c r="L144" s="13"/>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row>
    <row r="145" spans="1:34" s="169" customFormat="1" ht="15" customHeight="1" x14ac:dyDescent="0.25">
      <c r="A145" s="168"/>
      <c r="B145" s="165"/>
      <c r="C145" s="165"/>
      <c r="D145" s="107"/>
      <c r="E145" s="165"/>
      <c r="F145" s="108"/>
      <c r="G145" s="5"/>
      <c r="H145" s="5"/>
      <c r="I145" s="166"/>
      <c r="J145" s="166"/>
      <c r="K145" s="14"/>
      <c r="L145" s="13"/>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row>
    <row r="146" spans="1:34" s="169" customFormat="1" ht="15" customHeight="1" x14ac:dyDescent="0.25">
      <c r="A146" s="168"/>
      <c r="B146" s="165"/>
      <c r="C146" s="165"/>
      <c r="D146" s="107"/>
      <c r="E146" s="165"/>
      <c r="F146" s="108"/>
      <c r="G146" s="5"/>
      <c r="H146" s="5"/>
      <c r="I146" s="166"/>
      <c r="J146" s="166"/>
      <c r="K146" s="14"/>
      <c r="L146" s="13"/>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row>
    <row r="147" spans="1:34" ht="15" customHeight="1" x14ac:dyDescent="0.25">
      <c r="A147" s="106"/>
      <c r="B147" s="164"/>
      <c r="C147" s="164"/>
      <c r="D147" s="107"/>
      <c r="E147" s="164"/>
      <c r="F147" s="108"/>
      <c r="G147" s="5"/>
      <c r="H147" s="5"/>
      <c r="I147" s="163"/>
      <c r="J147" s="163"/>
      <c r="K147" s="14"/>
      <c r="L147" s="13"/>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row>
    <row r="148" spans="1:34" ht="15" customHeight="1" x14ac:dyDescent="0.25">
      <c r="A148" s="106"/>
      <c r="B148" s="164"/>
      <c r="C148" s="164"/>
      <c r="D148" s="107"/>
      <c r="E148" s="164"/>
      <c r="F148" s="108"/>
      <c r="G148" s="5"/>
      <c r="H148" s="5"/>
      <c r="I148" s="163"/>
      <c r="J148" s="163"/>
      <c r="K148" s="14"/>
      <c r="L148" s="13"/>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row>
    <row r="149" spans="1:34" ht="15" customHeight="1" x14ac:dyDescent="0.25">
      <c r="A149" s="106"/>
      <c r="B149" s="164"/>
      <c r="C149" s="164"/>
      <c r="D149" s="107"/>
      <c r="E149" s="164"/>
      <c r="F149" s="108"/>
      <c r="G149" s="5"/>
      <c r="H149" s="5"/>
      <c r="I149" s="163"/>
      <c r="J149" s="163"/>
      <c r="K149" s="14"/>
      <c r="L149" s="13"/>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row>
    <row r="150" spans="1:34" ht="15" customHeight="1" x14ac:dyDescent="0.25">
      <c r="A150" s="106"/>
      <c r="B150" s="164"/>
      <c r="C150" s="164"/>
      <c r="D150" s="107"/>
      <c r="E150" s="164"/>
      <c r="F150" s="108"/>
      <c r="G150" s="5"/>
      <c r="H150" s="5"/>
      <c r="I150" s="163"/>
      <c r="J150" s="163"/>
      <c r="K150" s="14"/>
      <c r="L150" s="13"/>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row>
    <row r="151" spans="1:34" ht="15" customHeight="1" x14ac:dyDescent="0.25">
      <c r="A151" s="106"/>
      <c r="B151" s="126"/>
      <c r="C151" s="126"/>
      <c r="D151" s="107"/>
      <c r="E151" s="126"/>
      <c r="F151" s="108"/>
      <c r="G151" s="5"/>
      <c r="H151" s="5"/>
      <c r="I151" s="5"/>
      <c r="J151" s="5"/>
      <c r="K151" s="14"/>
      <c r="L151" s="13"/>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row>
    <row r="152" spans="1:34" ht="15" customHeight="1" x14ac:dyDescent="0.25">
      <c r="A152" s="106"/>
      <c r="B152" s="126"/>
      <c r="C152" s="126"/>
      <c r="D152" s="107"/>
      <c r="E152" s="126"/>
      <c r="F152" s="108"/>
      <c r="G152" s="5"/>
      <c r="H152" s="5"/>
      <c r="I152" s="5"/>
      <c r="J152" s="5"/>
      <c r="K152" s="14"/>
      <c r="L152" s="13"/>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row>
    <row r="153" spans="1:34" ht="15" customHeight="1" x14ac:dyDescent="0.25">
      <c r="A153" s="106"/>
      <c r="B153" s="126"/>
      <c r="C153" s="126"/>
      <c r="D153" s="107"/>
      <c r="E153" s="126"/>
      <c r="F153" s="108"/>
      <c r="G153" s="5"/>
      <c r="H153" s="5"/>
      <c r="I153" s="5"/>
      <c r="J153" s="5"/>
      <c r="K153" s="14"/>
      <c r="L153" s="13"/>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row>
    <row r="154" spans="1:34" x14ac:dyDescent="0.25">
      <c r="A154" s="106"/>
      <c r="B154" s="126"/>
      <c r="C154" s="126"/>
      <c r="D154" s="107"/>
      <c r="E154" s="126"/>
      <c r="F154" s="108"/>
      <c r="G154" s="108"/>
      <c r="H154" s="108"/>
      <c r="I154" s="108"/>
      <c r="J154" s="109"/>
      <c r="K154" s="14"/>
      <c r="L154" s="13"/>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row>
    <row r="155" spans="1:34" x14ac:dyDescent="0.25">
      <c r="A155" s="106"/>
      <c r="B155" s="126"/>
      <c r="C155" s="126"/>
      <c r="D155" s="107"/>
      <c r="E155" s="112"/>
      <c r="F155" s="108"/>
      <c r="G155" s="108"/>
      <c r="H155" s="108"/>
      <c r="I155" s="108"/>
      <c r="J155" s="109"/>
      <c r="K155" s="14"/>
      <c r="L155" s="13"/>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row>
    <row r="156" spans="1:34" ht="15" customHeight="1" x14ac:dyDescent="0.25">
      <c r="A156" s="106"/>
      <c r="B156" s="126"/>
      <c r="C156" s="126"/>
      <c r="D156" s="107"/>
      <c r="E156" s="126"/>
      <c r="F156" s="108"/>
      <c r="G156" s="108"/>
      <c r="H156" s="108"/>
      <c r="I156" s="108"/>
      <c r="J156" s="109"/>
      <c r="K156" s="14"/>
      <c r="L156" s="13"/>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row>
    <row r="157" spans="1:34" ht="15" customHeight="1" x14ac:dyDescent="0.25">
      <c r="A157" s="106"/>
      <c r="B157" s="126"/>
      <c r="C157" s="126"/>
      <c r="D157" s="107"/>
      <c r="E157" s="126"/>
      <c r="F157" s="108"/>
      <c r="G157" s="108"/>
      <c r="H157" s="108"/>
      <c r="I157" s="108"/>
      <c r="J157" s="109"/>
      <c r="K157" s="14"/>
      <c r="L157" s="13"/>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row>
    <row r="158" spans="1:34" ht="15" customHeight="1" x14ac:dyDescent="0.25">
      <c r="A158" s="106"/>
      <c r="B158" s="126"/>
      <c r="C158" s="126"/>
      <c r="D158" s="107"/>
      <c r="E158" s="126"/>
      <c r="F158" s="108"/>
      <c r="G158" s="108"/>
      <c r="H158" s="108"/>
      <c r="I158" s="108"/>
      <c r="J158" s="109"/>
      <c r="K158" s="14"/>
      <c r="L158" s="13"/>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row>
    <row r="159" spans="1:34" ht="15" customHeight="1" x14ac:dyDescent="0.25">
      <c r="A159" s="106"/>
      <c r="B159" s="126"/>
      <c r="C159" s="126"/>
      <c r="D159" s="107"/>
      <c r="E159" s="126"/>
      <c r="F159" s="108"/>
      <c r="G159" s="108"/>
      <c r="H159" s="108"/>
      <c r="I159" s="108"/>
      <c r="J159" s="109"/>
      <c r="K159" s="14"/>
      <c r="L159" s="13"/>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row>
    <row r="160" spans="1:34" ht="15" customHeight="1" x14ac:dyDescent="0.25">
      <c r="A160" s="106"/>
      <c r="B160" s="3"/>
      <c r="C160" s="110"/>
      <c r="D160" s="110"/>
      <c r="E160" s="126"/>
      <c r="F160" s="108"/>
      <c r="G160" s="108"/>
      <c r="H160" s="108"/>
      <c r="I160" s="108"/>
      <c r="J160" s="109"/>
      <c r="K160" s="14"/>
      <c r="L160" s="13"/>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row>
    <row r="161" spans="1:34" ht="15" customHeight="1" x14ac:dyDescent="0.25">
      <c r="A161" s="106"/>
      <c r="B161" s="93"/>
      <c r="C161" s="128"/>
      <c r="D161" s="128"/>
      <c r="E161" s="3"/>
      <c r="F161" s="108"/>
      <c r="G161" s="108"/>
      <c r="H161" s="108"/>
      <c r="I161" s="108"/>
      <c r="J161" s="109"/>
      <c r="K161" s="14"/>
      <c r="L161" s="13"/>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row>
    <row r="162" spans="1:34" ht="15" customHeight="1" x14ac:dyDescent="0.25">
      <c r="A162" s="106"/>
      <c r="B162" s="95"/>
      <c r="C162" s="12"/>
      <c r="D162" s="88"/>
      <c r="E162" s="93"/>
      <c r="F162" s="108"/>
      <c r="G162" s="14"/>
      <c r="H162" s="13"/>
      <c r="I162" s="106"/>
      <c r="J162" s="106"/>
      <c r="K162" s="113"/>
      <c r="L162" s="113"/>
      <c r="M162" s="106"/>
      <c r="N162" s="106"/>
      <c r="O162" s="106"/>
      <c r="P162" s="106"/>
      <c r="Q162" s="106"/>
      <c r="R162" s="106"/>
      <c r="S162" s="106"/>
      <c r="T162" s="106"/>
      <c r="U162" s="106"/>
      <c r="V162" s="106"/>
      <c r="W162" s="106"/>
      <c r="X162" s="106"/>
      <c r="Y162" s="106"/>
      <c r="Z162" s="106"/>
      <c r="AA162" s="106"/>
      <c r="AB162" s="106"/>
      <c r="AC162" s="106"/>
    </row>
    <row r="163" spans="1:34" ht="15" customHeight="1" x14ac:dyDescent="0.25">
      <c r="A163" s="106"/>
      <c r="B163" s="95"/>
      <c r="C163" s="12"/>
      <c r="D163" s="88"/>
      <c r="E163" s="94"/>
      <c r="F163" s="108"/>
      <c r="G163" s="14"/>
      <c r="H163" s="13"/>
      <c r="I163" s="106"/>
      <c r="J163" s="106"/>
      <c r="K163" s="113"/>
      <c r="L163" s="113"/>
      <c r="M163" s="106"/>
      <c r="N163" s="106"/>
      <c r="O163" s="106"/>
      <c r="P163" s="106"/>
      <c r="Q163" s="106"/>
      <c r="R163" s="106"/>
      <c r="S163" s="106"/>
      <c r="T163" s="106"/>
      <c r="U163" s="106"/>
      <c r="V163" s="106"/>
      <c r="W163" s="106"/>
      <c r="X163" s="106"/>
      <c r="Y163" s="106"/>
      <c r="Z163" s="106"/>
      <c r="AA163" s="106"/>
      <c r="AB163" s="106"/>
      <c r="AC163" s="106"/>
    </row>
    <row r="164" spans="1:34" ht="15" customHeight="1" x14ac:dyDescent="0.25">
      <c r="A164" s="106"/>
      <c r="B164" s="124"/>
      <c r="C164" s="16"/>
      <c r="D164" s="111"/>
      <c r="E164" s="95"/>
      <c r="F164" s="114"/>
      <c r="G164" s="14"/>
      <c r="H164" s="13"/>
      <c r="I164" s="106"/>
      <c r="J164" s="106"/>
      <c r="K164" s="113"/>
      <c r="L164" s="113"/>
      <c r="M164" s="106"/>
      <c r="N164" s="106"/>
      <c r="O164" s="106"/>
      <c r="P164" s="106"/>
      <c r="Q164" s="106"/>
      <c r="R164" s="106"/>
      <c r="S164" s="106"/>
      <c r="T164" s="106"/>
      <c r="U164" s="106"/>
      <c r="V164" s="106"/>
      <c r="W164" s="106"/>
      <c r="X164" s="106"/>
      <c r="Y164" s="106"/>
      <c r="Z164" s="106"/>
      <c r="AA164" s="106"/>
      <c r="AB164" s="106"/>
      <c r="AC164" s="106"/>
    </row>
    <row r="165" spans="1:34" x14ac:dyDescent="0.25">
      <c r="A165" s="106"/>
      <c r="B165" s="6"/>
      <c r="C165" s="6"/>
      <c r="D165" s="115"/>
      <c r="E165" s="112"/>
      <c r="F165" s="114"/>
      <c r="G165" s="14"/>
      <c r="H165" s="13"/>
      <c r="I165" s="106"/>
      <c r="J165" s="106"/>
      <c r="K165" s="113"/>
      <c r="L165" s="113"/>
      <c r="M165" s="106"/>
      <c r="N165" s="106"/>
      <c r="O165" s="106"/>
      <c r="P165" s="106"/>
      <c r="Q165" s="106"/>
      <c r="R165" s="106"/>
      <c r="S165" s="106"/>
      <c r="T165" s="106"/>
      <c r="U165" s="106"/>
      <c r="V165" s="106"/>
      <c r="W165" s="106"/>
      <c r="X165" s="106"/>
      <c r="Y165" s="106"/>
      <c r="Z165" s="106"/>
      <c r="AA165" s="106"/>
      <c r="AB165" s="106"/>
      <c r="AC165" s="106"/>
    </row>
    <row r="166" spans="1:34" x14ac:dyDescent="0.25">
      <c r="A166" s="106"/>
      <c r="B166" s="6"/>
      <c r="C166" s="6"/>
      <c r="D166" s="115"/>
      <c r="E166" s="6"/>
      <c r="F166" s="114"/>
      <c r="G166" s="14"/>
      <c r="H166" s="13"/>
      <c r="I166" s="106"/>
      <c r="J166" s="106"/>
      <c r="K166" s="113"/>
      <c r="L166" s="113"/>
      <c r="M166" s="106"/>
      <c r="N166" s="106"/>
      <c r="O166" s="106"/>
      <c r="P166" s="106"/>
      <c r="Q166" s="106"/>
      <c r="R166" s="106"/>
      <c r="S166" s="106"/>
      <c r="T166" s="106"/>
      <c r="U166" s="106"/>
      <c r="V166" s="106"/>
      <c r="W166" s="106"/>
      <c r="X166" s="106"/>
      <c r="Y166" s="106"/>
      <c r="Z166" s="106"/>
      <c r="AA166" s="106"/>
      <c r="AB166" s="106"/>
      <c r="AC166" s="106"/>
    </row>
    <row r="167" spans="1:34" ht="15" customHeight="1" x14ac:dyDescent="0.25">
      <c r="A167" s="106"/>
      <c r="B167" s="6"/>
      <c r="C167" s="7"/>
      <c r="D167" s="7"/>
      <c r="E167" s="6"/>
      <c r="F167" s="114"/>
      <c r="G167" s="15"/>
      <c r="H167" s="13"/>
      <c r="I167" s="106"/>
      <c r="J167" s="106"/>
      <c r="K167" s="113"/>
      <c r="L167" s="113"/>
      <c r="M167" s="106"/>
      <c r="N167" s="106"/>
      <c r="O167" s="106"/>
      <c r="P167" s="106"/>
      <c r="Q167" s="106"/>
      <c r="R167" s="106"/>
      <c r="S167" s="106"/>
      <c r="T167" s="106"/>
      <c r="U167" s="106"/>
      <c r="V167" s="106"/>
      <c r="W167" s="106"/>
      <c r="X167" s="106"/>
      <c r="Y167" s="106"/>
      <c r="Z167" s="106"/>
      <c r="AA167" s="106"/>
      <c r="AB167" s="106"/>
      <c r="AC167" s="106"/>
    </row>
    <row r="168" spans="1:34" ht="15" customHeight="1" x14ac:dyDescent="0.25">
      <c r="A168" s="106"/>
      <c r="B168" s="6"/>
      <c r="C168" s="7"/>
      <c r="D168" s="7"/>
      <c r="E168" s="6"/>
      <c r="F168" s="7"/>
      <c r="G168" s="7"/>
      <c r="H168" s="7"/>
      <c r="I168" s="7"/>
      <c r="J168" s="7"/>
      <c r="K168" s="15"/>
      <c r="L168" s="13"/>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row>
    <row r="169" spans="1:34" ht="15" customHeight="1" x14ac:dyDescent="0.25">
      <c r="A169" s="106"/>
      <c r="B169" s="6"/>
      <c r="C169" s="7"/>
      <c r="D169" s="7"/>
      <c r="E169" s="6"/>
      <c r="F169" s="7"/>
      <c r="G169" s="7"/>
      <c r="H169" s="7"/>
      <c r="I169" s="7"/>
      <c r="J169" s="7"/>
      <c r="K169" s="15"/>
      <c r="L169" s="13"/>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row>
    <row r="170" spans="1:34" ht="15" customHeight="1" x14ac:dyDescent="0.25">
      <c r="A170" s="106"/>
      <c r="B170" s="117"/>
      <c r="C170" s="116"/>
      <c r="D170" s="116"/>
      <c r="E170" s="6"/>
      <c r="F170" s="7"/>
      <c r="G170" s="7"/>
      <c r="H170" s="7"/>
      <c r="I170" s="7"/>
      <c r="J170" s="7"/>
      <c r="K170" s="15"/>
      <c r="L170" s="13"/>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row>
    <row r="171" spans="1:34" ht="15" customHeight="1" x14ac:dyDescent="0.25">
      <c r="A171" s="106"/>
      <c r="B171" s="117"/>
      <c r="C171" s="116"/>
      <c r="D171" s="116"/>
      <c r="E171" s="117"/>
      <c r="F171" s="8"/>
      <c r="G171" s="116"/>
      <c r="H171" s="116"/>
      <c r="I171" s="116"/>
      <c r="J171" s="116"/>
      <c r="K171" s="15"/>
      <c r="L171" s="13"/>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row>
    <row r="172" spans="1:34" ht="15" customHeight="1" x14ac:dyDescent="0.25">
      <c r="A172" s="106"/>
      <c r="B172" s="96"/>
      <c r="C172" s="127"/>
      <c r="D172" s="127"/>
      <c r="E172" s="117"/>
      <c r="F172" s="8"/>
      <c r="G172" s="116"/>
      <c r="H172" s="116"/>
      <c r="I172" s="116"/>
      <c r="J172" s="116"/>
      <c r="K172" s="15"/>
      <c r="L172" s="13"/>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row>
    <row r="173" spans="1:34" ht="15" customHeight="1" x14ac:dyDescent="0.25">
      <c r="A173" s="106"/>
      <c r="B173" s="98"/>
      <c r="C173" s="9"/>
      <c r="D173" s="89"/>
      <c r="E173" s="96"/>
      <c r="F173" s="8"/>
      <c r="G173" s="191"/>
      <c r="H173" s="191"/>
      <c r="I173" s="191"/>
      <c r="J173" s="191"/>
      <c r="K173" s="15"/>
      <c r="L173" s="13"/>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row>
    <row r="174" spans="1:34" x14ac:dyDescent="0.25">
      <c r="A174" s="106"/>
      <c r="B174" s="98"/>
      <c r="C174" s="9"/>
      <c r="D174" s="89"/>
      <c r="E174" s="97"/>
      <c r="F174" s="8"/>
      <c r="G174" s="192"/>
      <c r="H174" s="192"/>
      <c r="I174" s="192"/>
      <c r="J174" s="192"/>
      <c r="K174" s="15"/>
      <c r="L174" s="13"/>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row>
    <row r="175" spans="1:34" ht="15.75" x14ac:dyDescent="0.25">
      <c r="A175" s="106"/>
      <c r="B175" s="125"/>
      <c r="C175" s="10"/>
      <c r="D175" s="11"/>
      <c r="E175" s="98"/>
      <c r="F175" s="8"/>
      <c r="G175" s="192"/>
      <c r="H175" s="192"/>
      <c r="I175" s="192"/>
      <c r="J175" s="192"/>
      <c r="K175" s="15"/>
      <c r="L175" s="13"/>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row>
    <row r="176" spans="1:34" ht="15.75" x14ac:dyDescent="0.25">
      <c r="A176" s="106"/>
      <c r="B176" s="6"/>
      <c r="C176" s="6"/>
      <c r="D176" s="115"/>
      <c r="E176" s="99"/>
      <c r="F176" s="8"/>
      <c r="G176" s="190"/>
      <c r="H176" s="190"/>
      <c r="I176" s="190"/>
      <c r="J176" s="190"/>
      <c r="K176" s="15"/>
      <c r="L176" s="13"/>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row>
    <row r="177" spans="1:34" x14ac:dyDescent="0.25">
      <c r="A177" s="106"/>
      <c r="B177" s="6"/>
      <c r="C177" s="6"/>
      <c r="D177" s="115"/>
      <c r="E177" s="6"/>
      <c r="F177" s="114"/>
      <c r="G177" s="114"/>
      <c r="H177" s="114"/>
      <c r="I177" s="114"/>
      <c r="J177" s="118"/>
      <c r="K177" s="15"/>
      <c r="L177" s="13"/>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row>
    <row r="178" spans="1:34" x14ac:dyDescent="0.25">
      <c r="A178" s="106"/>
      <c r="B178" s="6"/>
      <c r="C178" s="6"/>
      <c r="D178" s="115"/>
      <c r="E178" s="6"/>
      <c r="F178" s="114"/>
      <c r="G178" s="114"/>
      <c r="H178" s="114"/>
      <c r="I178" s="114"/>
      <c r="J178" s="118"/>
      <c r="K178" s="15"/>
      <c r="L178" s="13"/>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row>
    <row r="179" spans="1:34" x14ac:dyDescent="0.25">
      <c r="A179" s="106"/>
      <c r="B179" s="6"/>
      <c r="C179" s="6"/>
      <c r="D179" s="115"/>
      <c r="E179" s="6"/>
      <c r="F179" s="114"/>
      <c r="G179" s="114"/>
      <c r="H179" s="114"/>
      <c r="I179" s="114"/>
      <c r="J179" s="118"/>
      <c r="K179" s="15"/>
      <c r="L179" s="13"/>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row>
    <row r="180" spans="1:34" x14ac:dyDescent="0.25">
      <c r="A180" s="106"/>
      <c r="B180" s="126"/>
      <c r="C180" s="126"/>
      <c r="D180" s="107"/>
      <c r="E180" s="6"/>
      <c r="F180" s="114"/>
      <c r="G180" s="114"/>
      <c r="H180" s="114"/>
      <c r="I180" s="114"/>
      <c r="J180" s="118"/>
      <c r="K180" s="15"/>
      <c r="L180" s="13"/>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row>
    <row r="181" spans="1:34" x14ac:dyDescent="0.25">
      <c r="A181" s="106"/>
      <c r="B181" s="126"/>
      <c r="C181" s="126"/>
      <c r="D181" s="107"/>
      <c r="E181" s="126"/>
      <c r="F181" s="108"/>
      <c r="G181" s="108"/>
      <c r="H181" s="108"/>
      <c r="I181" s="108"/>
      <c r="J181" s="109"/>
      <c r="K181" s="15"/>
      <c r="L181" s="13"/>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row>
    <row r="182" spans="1:34" x14ac:dyDescent="0.25">
      <c r="A182" s="106"/>
      <c r="B182" s="126"/>
      <c r="C182" s="126"/>
      <c r="D182" s="107"/>
      <c r="E182" s="126"/>
      <c r="F182" s="108"/>
      <c r="G182" s="108"/>
      <c r="H182" s="108"/>
      <c r="I182" s="108"/>
      <c r="J182" s="109"/>
      <c r="K182" s="15"/>
      <c r="L182" s="13"/>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row>
    <row r="183" spans="1:34" x14ac:dyDescent="0.25">
      <c r="A183" s="106"/>
      <c r="B183" s="126"/>
      <c r="C183" s="126"/>
      <c r="D183" s="107"/>
      <c r="E183" s="126"/>
      <c r="F183" s="108"/>
      <c r="G183" s="108"/>
      <c r="H183" s="108"/>
      <c r="I183" s="108"/>
      <c r="J183" s="109"/>
      <c r="K183" s="15"/>
      <c r="L183" s="13"/>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row>
    <row r="184" spans="1:34" x14ac:dyDescent="0.25">
      <c r="A184" s="106"/>
      <c r="B184" s="126"/>
      <c r="C184" s="126"/>
      <c r="D184" s="107"/>
      <c r="E184" s="126"/>
      <c r="F184" s="108"/>
      <c r="G184" s="108"/>
      <c r="H184" s="108"/>
      <c r="I184" s="108"/>
      <c r="J184" s="109"/>
      <c r="K184" s="14"/>
      <c r="L184" s="13"/>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row>
    <row r="185" spans="1:34" x14ac:dyDescent="0.25">
      <c r="A185" s="106"/>
      <c r="B185" s="126"/>
      <c r="C185" s="126"/>
      <c r="D185" s="107"/>
      <c r="E185" s="126"/>
      <c r="F185" s="108"/>
      <c r="G185" s="108"/>
      <c r="H185" s="108"/>
      <c r="I185" s="108"/>
      <c r="J185" s="109"/>
      <c r="K185" s="14"/>
      <c r="L185" s="13"/>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row>
    <row r="186" spans="1:34" x14ac:dyDescent="0.25">
      <c r="A186" s="106"/>
      <c r="B186" s="126"/>
      <c r="C186" s="126"/>
      <c r="D186" s="107"/>
      <c r="E186" s="126"/>
      <c r="F186" s="108"/>
      <c r="G186" s="108"/>
      <c r="H186" s="108"/>
      <c r="I186" s="108"/>
      <c r="J186" s="109"/>
      <c r="K186" s="14"/>
      <c r="L186" s="13"/>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row>
    <row r="187" spans="1:34" x14ac:dyDescent="0.25">
      <c r="A187" s="106"/>
      <c r="B187" s="126"/>
      <c r="C187" s="126"/>
      <c r="D187" s="107"/>
      <c r="E187" s="126"/>
      <c r="F187" s="108"/>
      <c r="G187" s="108"/>
      <c r="H187" s="108"/>
      <c r="I187" s="108"/>
      <c r="J187" s="109"/>
      <c r="K187" s="14"/>
      <c r="L187" s="13"/>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row>
    <row r="188" spans="1:34" x14ac:dyDescent="0.25">
      <c r="A188" s="106"/>
      <c r="B188" s="126"/>
      <c r="C188" s="126"/>
      <c r="D188" s="107"/>
      <c r="E188" s="126"/>
      <c r="F188" s="108"/>
      <c r="G188" s="108"/>
      <c r="H188" s="108"/>
      <c r="I188" s="108"/>
      <c r="J188" s="109"/>
      <c r="K188" s="14"/>
      <c r="L188" s="13"/>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row>
    <row r="189" spans="1:34" x14ac:dyDescent="0.25">
      <c r="A189" s="106"/>
      <c r="B189" s="126"/>
      <c r="C189" s="126"/>
      <c r="D189" s="107"/>
      <c r="E189" s="126"/>
      <c r="F189" s="108"/>
      <c r="G189" s="108"/>
      <c r="H189" s="108"/>
      <c r="I189" s="108"/>
      <c r="J189" s="109"/>
      <c r="K189" s="14"/>
      <c r="L189" s="13"/>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row>
    <row r="190" spans="1:34" x14ac:dyDescent="0.25">
      <c r="A190" s="106"/>
      <c r="B190" s="126"/>
      <c r="C190" s="126"/>
      <c r="D190" s="107"/>
      <c r="E190" s="126"/>
      <c r="F190" s="108"/>
      <c r="G190" s="108"/>
      <c r="H190" s="108"/>
      <c r="I190" s="108"/>
      <c r="J190" s="109"/>
      <c r="K190" s="14"/>
      <c r="L190" s="13"/>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row>
    <row r="191" spans="1:34" x14ac:dyDescent="0.25">
      <c r="A191" s="106"/>
      <c r="B191" s="126"/>
      <c r="C191" s="126"/>
      <c r="D191" s="107"/>
      <c r="E191" s="126"/>
      <c r="F191" s="108"/>
      <c r="G191" s="108"/>
      <c r="H191" s="108"/>
      <c r="I191" s="108"/>
      <c r="J191" s="109"/>
      <c r="K191" s="14"/>
      <c r="L191" s="13"/>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row>
    <row r="192" spans="1:34" x14ac:dyDescent="0.25">
      <c r="A192" s="106"/>
      <c r="B192" s="126"/>
      <c r="C192" s="126"/>
      <c r="D192" s="107"/>
      <c r="E192" s="126"/>
      <c r="F192" s="108"/>
      <c r="G192" s="108"/>
      <c r="H192" s="108"/>
      <c r="I192" s="108"/>
      <c r="J192" s="109"/>
      <c r="K192" s="14"/>
      <c r="L192" s="13"/>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row>
    <row r="193" spans="1:34" x14ac:dyDescent="0.25">
      <c r="A193" s="106"/>
      <c r="B193" s="126"/>
      <c r="C193" s="126"/>
      <c r="D193" s="107"/>
      <c r="E193" s="126"/>
      <c r="F193" s="108"/>
      <c r="G193" s="108"/>
      <c r="H193" s="108"/>
      <c r="I193" s="108"/>
      <c r="J193" s="109"/>
      <c r="K193" s="14"/>
      <c r="L193" s="13"/>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row>
    <row r="194" spans="1:34" x14ac:dyDescent="0.25">
      <c r="A194" s="106"/>
      <c r="B194" s="126"/>
      <c r="C194" s="126"/>
      <c r="D194" s="107"/>
      <c r="E194" s="126"/>
      <c r="F194" s="108"/>
      <c r="G194" s="108"/>
      <c r="H194" s="108"/>
      <c r="I194" s="108"/>
      <c r="J194" s="109"/>
      <c r="K194" s="14"/>
      <c r="L194" s="13"/>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row>
    <row r="195" spans="1:34" x14ac:dyDescent="0.25">
      <c r="A195" s="106"/>
      <c r="B195" s="126"/>
      <c r="C195" s="126"/>
      <c r="D195" s="107"/>
      <c r="E195" s="126"/>
      <c r="F195" s="108"/>
      <c r="G195" s="108"/>
      <c r="H195" s="108"/>
      <c r="I195" s="108"/>
      <c r="J195" s="109"/>
      <c r="K195" s="14"/>
      <c r="L195" s="13"/>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row>
    <row r="196" spans="1:34" x14ac:dyDescent="0.25">
      <c r="A196" s="106"/>
      <c r="B196" s="126"/>
      <c r="C196" s="126"/>
      <c r="D196" s="107"/>
      <c r="E196" s="126"/>
      <c r="F196" s="108"/>
      <c r="G196" s="108"/>
      <c r="H196" s="108"/>
      <c r="I196" s="108"/>
      <c r="J196" s="109"/>
      <c r="K196" s="14"/>
      <c r="L196" s="13"/>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row>
    <row r="197" spans="1:34" x14ac:dyDescent="0.25">
      <c r="A197" s="106"/>
      <c r="B197" s="126"/>
      <c r="C197" s="126"/>
      <c r="D197" s="107"/>
      <c r="E197" s="126"/>
      <c r="F197" s="108"/>
      <c r="G197" s="108"/>
      <c r="H197" s="108"/>
      <c r="I197" s="108"/>
      <c r="J197" s="109"/>
      <c r="K197" s="14"/>
      <c r="L197" s="13"/>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row>
    <row r="198" spans="1:34" x14ac:dyDescent="0.25">
      <c r="A198" s="106"/>
      <c r="B198" s="126"/>
      <c r="C198" s="126"/>
      <c r="D198" s="107"/>
      <c r="E198" s="126"/>
      <c r="F198" s="108"/>
      <c r="G198" s="108"/>
      <c r="H198" s="108"/>
      <c r="I198" s="108"/>
      <c r="J198" s="109"/>
      <c r="K198" s="14"/>
      <c r="L198" s="13"/>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row>
    <row r="199" spans="1:34" x14ac:dyDescent="0.25">
      <c r="A199" s="106"/>
      <c r="B199" s="126"/>
      <c r="C199" s="126"/>
      <c r="D199" s="107"/>
      <c r="E199" s="126"/>
      <c r="F199" s="108"/>
      <c r="G199" s="108"/>
      <c r="H199" s="108"/>
      <c r="I199" s="108"/>
      <c r="J199" s="109"/>
      <c r="K199" s="14"/>
      <c r="L199" s="13"/>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row>
    <row r="200" spans="1:34" x14ac:dyDescent="0.25">
      <c r="A200" s="106"/>
      <c r="B200" s="126"/>
      <c r="C200" s="126"/>
      <c r="D200" s="107"/>
      <c r="E200" s="126"/>
      <c r="F200" s="108"/>
      <c r="G200" s="108"/>
      <c r="H200" s="108"/>
      <c r="I200" s="108"/>
      <c r="J200" s="109"/>
      <c r="K200" s="14"/>
      <c r="L200" s="13"/>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row>
    <row r="201" spans="1:34" x14ac:dyDescent="0.25">
      <c r="A201" s="106"/>
      <c r="B201" s="126"/>
      <c r="C201" s="126"/>
      <c r="D201" s="107"/>
      <c r="E201" s="126"/>
      <c r="F201" s="108"/>
      <c r="G201" s="108"/>
      <c r="H201" s="108"/>
      <c r="I201" s="108"/>
      <c r="J201" s="109"/>
      <c r="K201" s="14"/>
      <c r="L201" s="13"/>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row>
    <row r="202" spans="1:34" x14ac:dyDescent="0.25">
      <c r="A202" s="106"/>
      <c r="B202" s="126"/>
      <c r="C202" s="126"/>
      <c r="D202" s="107"/>
      <c r="E202" s="126"/>
      <c r="F202" s="108"/>
      <c r="G202" s="108"/>
      <c r="H202" s="108"/>
      <c r="I202" s="108"/>
      <c r="J202" s="109"/>
      <c r="K202" s="14"/>
      <c r="L202" s="13"/>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row>
    <row r="203" spans="1:34" x14ac:dyDescent="0.25">
      <c r="A203" s="106"/>
      <c r="B203" s="126"/>
      <c r="C203" s="126"/>
      <c r="D203" s="107"/>
      <c r="E203" s="126"/>
      <c r="F203" s="108"/>
      <c r="G203" s="108"/>
      <c r="H203" s="108"/>
      <c r="I203" s="108"/>
      <c r="J203" s="109"/>
      <c r="K203" s="14"/>
      <c r="L203" s="13"/>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row>
    <row r="204" spans="1:34" x14ac:dyDescent="0.25">
      <c r="A204" s="106"/>
      <c r="B204" s="126"/>
      <c r="C204" s="126"/>
      <c r="D204" s="107"/>
      <c r="E204" s="126"/>
      <c r="F204" s="108"/>
      <c r="G204" s="108"/>
      <c r="H204" s="108"/>
      <c r="I204" s="108"/>
      <c r="J204" s="109"/>
      <c r="K204" s="14"/>
      <c r="L204" s="13"/>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row>
    <row r="205" spans="1:34" x14ac:dyDescent="0.25">
      <c r="A205" s="106"/>
      <c r="B205" s="126"/>
      <c r="C205" s="126"/>
      <c r="D205" s="107"/>
      <c r="E205" s="126"/>
      <c r="F205" s="108"/>
      <c r="G205" s="108"/>
      <c r="H205" s="108"/>
      <c r="I205" s="108"/>
      <c r="J205" s="109"/>
      <c r="K205" s="14"/>
      <c r="L205" s="13"/>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row>
    <row r="206" spans="1:34" x14ac:dyDescent="0.25">
      <c r="A206" s="106"/>
      <c r="B206" s="126"/>
      <c r="C206" s="126"/>
      <c r="D206" s="107"/>
      <c r="E206" s="126"/>
      <c r="F206" s="108"/>
      <c r="G206" s="108"/>
      <c r="H206" s="108"/>
      <c r="I206" s="108"/>
      <c r="J206" s="109"/>
      <c r="K206" s="14"/>
      <c r="L206" s="13"/>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row>
    <row r="207" spans="1:34" x14ac:dyDescent="0.25">
      <c r="A207" s="106"/>
      <c r="B207" s="126"/>
      <c r="C207" s="126"/>
      <c r="D207" s="107"/>
      <c r="E207" s="126"/>
      <c r="F207" s="108"/>
      <c r="G207" s="108"/>
      <c r="H207" s="108"/>
      <c r="I207" s="108"/>
      <c r="J207" s="109"/>
      <c r="K207" s="14"/>
      <c r="L207" s="13"/>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row>
    <row r="208" spans="1:34" x14ac:dyDescent="0.25">
      <c r="A208" s="106"/>
      <c r="B208" s="126"/>
      <c r="C208" s="126"/>
      <c r="D208" s="107"/>
      <c r="E208" s="126"/>
      <c r="F208" s="108"/>
      <c r="G208" s="108"/>
      <c r="H208" s="108"/>
      <c r="I208" s="108"/>
      <c r="J208" s="109"/>
      <c r="K208" s="14"/>
      <c r="L208" s="13"/>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row>
    <row r="209" spans="1:34" x14ac:dyDescent="0.25">
      <c r="A209" s="106"/>
      <c r="B209" s="126"/>
      <c r="C209" s="126"/>
      <c r="D209" s="107"/>
      <c r="E209" s="126"/>
      <c r="F209" s="108"/>
      <c r="G209" s="108"/>
      <c r="H209" s="108"/>
      <c r="I209" s="108"/>
      <c r="J209" s="109"/>
      <c r="K209" s="14"/>
      <c r="L209" s="13"/>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row>
    <row r="210" spans="1:34" x14ac:dyDescent="0.25">
      <c r="A210" s="106"/>
      <c r="B210" s="126"/>
      <c r="C210" s="126"/>
      <c r="D210" s="107"/>
      <c r="E210" s="126"/>
      <c r="F210" s="108"/>
      <c r="G210" s="108"/>
      <c r="H210" s="108"/>
      <c r="I210" s="108"/>
      <c r="J210" s="109"/>
      <c r="K210" s="14"/>
      <c r="L210" s="13"/>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row>
    <row r="211" spans="1:34" x14ac:dyDescent="0.25">
      <c r="A211" s="106"/>
      <c r="B211" s="126"/>
      <c r="C211" s="126"/>
      <c r="D211" s="107"/>
      <c r="E211" s="126"/>
      <c r="F211" s="108"/>
      <c r="G211" s="108"/>
      <c r="H211" s="108"/>
      <c r="I211" s="108"/>
      <c r="J211" s="109"/>
      <c r="K211" s="14"/>
      <c r="L211" s="13"/>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row>
    <row r="212" spans="1:34" x14ac:dyDescent="0.25">
      <c r="A212" s="106"/>
      <c r="B212" s="126"/>
      <c r="C212" s="126"/>
      <c r="D212" s="107"/>
      <c r="E212" s="126"/>
      <c r="F212" s="108"/>
      <c r="G212" s="108"/>
      <c r="H212" s="108"/>
      <c r="I212" s="108"/>
      <c r="J212" s="109"/>
      <c r="K212" s="14"/>
      <c r="L212" s="13"/>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row>
    <row r="213" spans="1:34" x14ac:dyDescent="0.25">
      <c r="A213" s="106"/>
      <c r="B213" s="126"/>
      <c r="C213" s="126"/>
      <c r="D213" s="107"/>
      <c r="E213" s="126"/>
      <c r="F213" s="108"/>
      <c r="G213" s="108"/>
      <c r="H213" s="108"/>
      <c r="I213" s="108"/>
      <c r="J213" s="109"/>
      <c r="K213" s="14"/>
      <c r="L213" s="13"/>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row>
    <row r="214" spans="1:34" x14ac:dyDescent="0.25">
      <c r="A214" s="106"/>
      <c r="B214" s="126"/>
      <c r="C214" s="126"/>
      <c r="D214" s="107"/>
      <c r="E214" s="126"/>
      <c r="F214" s="108"/>
      <c r="G214" s="108"/>
      <c r="H214" s="108"/>
      <c r="I214" s="108"/>
      <c r="J214" s="109"/>
      <c r="K214" s="14"/>
      <c r="L214" s="13"/>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row>
    <row r="215" spans="1:34" x14ac:dyDescent="0.25">
      <c r="A215" s="106"/>
      <c r="B215" s="126"/>
      <c r="C215" s="126"/>
      <c r="D215" s="107"/>
      <c r="E215" s="126"/>
      <c r="F215" s="108"/>
      <c r="G215" s="108"/>
      <c r="H215" s="108"/>
      <c r="I215" s="108"/>
      <c r="J215" s="109"/>
      <c r="K215" s="14"/>
      <c r="L215" s="13"/>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row>
    <row r="216" spans="1:34" x14ac:dyDescent="0.25">
      <c r="A216" s="106"/>
      <c r="B216" s="126"/>
      <c r="C216" s="126"/>
      <c r="D216" s="107"/>
      <c r="E216" s="126"/>
      <c r="F216" s="108"/>
      <c r="G216" s="108"/>
      <c r="H216" s="108"/>
      <c r="I216" s="108"/>
      <c r="J216" s="109"/>
      <c r="K216" s="14"/>
      <c r="L216" s="13"/>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row>
    <row r="217" spans="1:34" x14ac:dyDescent="0.25">
      <c r="A217" s="106"/>
      <c r="B217" s="126"/>
      <c r="C217" s="126"/>
      <c r="D217" s="107"/>
      <c r="E217" s="126"/>
      <c r="F217" s="108"/>
      <c r="G217" s="108"/>
      <c r="H217" s="108"/>
      <c r="I217" s="108"/>
      <c r="J217" s="109"/>
      <c r="K217" s="14"/>
      <c r="L217" s="13"/>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row>
    <row r="218" spans="1:34" x14ac:dyDescent="0.25">
      <c r="A218" s="106"/>
      <c r="B218" s="126"/>
      <c r="C218" s="126"/>
      <c r="D218" s="107"/>
      <c r="E218" s="126"/>
      <c r="F218" s="108"/>
      <c r="G218" s="108"/>
      <c r="H218" s="108"/>
      <c r="I218" s="108"/>
      <c r="J218" s="109"/>
      <c r="K218" s="14"/>
      <c r="L218" s="13"/>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row>
    <row r="219" spans="1:34" x14ac:dyDescent="0.25">
      <c r="A219" s="106"/>
      <c r="B219" s="126"/>
      <c r="C219" s="126"/>
      <c r="D219" s="107"/>
      <c r="E219" s="126"/>
      <c r="F219" s="108"/>
      <c r="G219" s="108"/>
      <c r="H219" s="108"/>
      <c r="I219" s="108"/>
      <c r="J219" s="109"/>
      <c r="K219" s="14"/>
      <c r="L219" s="13"/>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row>
    <row r="220" spans="1:34" x14ac:dyDescent="0.25">
      <c r="A220" s="106"/>
      <c r="B220" s="126"/>
      <c r="C220" s="126"/>
      <c r="D220" s="107"/>
      <c r="E220" s="126"/>
      <c r="F220" s="108"/>
      <c r="G220" s="108"/>
      <c r="H220" s="108"/>
      <c r="I220" s="108"/>
      <c r="J220" s="109"/>
      <c r="K220" s="14"/>
      <c r="L220" s="13"/>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row>
    <row r="221" spans="1:34" x14ac:dyDescent="0.25">
      <c r="A221" s="106"/>
      <c r="B221" s="126"/>
      <c r="C221" s="126"/>
      <c r="D221" s="107"/>
      <c r="E221" s="126"/>
      <c r="F221" s="108"/>
      <c r="G221" s="108"/>
      <c r="H221" s="108"/>
      <c r="I221" s="108"/>
      <c r="J221" s="109"/>
      <c r="K221" s="14"/>
      <c r="L221" s="13"/>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row>
    <row r="222" spans="1:34" x14ac:dyDescent="0.25">
      <c r="A222" s="106"/>
      <c r="B222" s="126"/>
      <c r="C222" s="126"/>
      <c r="D222" s="107"/>
      <c r="E222" s="126"/>
      <c r="F222" s="108"/>
      <c r="G222" s="108"/>
      <c r="H222" s="108"/>
      <c r="I222" s="108"/>
      <c r="J222" s="109"/>
      <c r="K222" s="14"/>
      <c r="L222" s="13"/>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row>
    <row r="223" spans="1:34" x14ac:dyDescent="0.25">
      <c r="A223" s="106"/>
      <c r="B223" s="126"/>
      <c r="C223" s="126"/>
      <c r="D223" s="107"/>
      <c r="E223" s="126"/>
      <c r="F223" s="108"/>
      <c r="G223" s="108"/>
      <c r="H223" s="108"/>
      <c r="I223" s="108"/>
      <c r="J223" s="109"/>
      <c r="K223" s="14"/>
      <c r="L223" s="13"/>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row>
    <row r="224" spans="1:34" x14ac:dyDescent="0.25">
      <c r="A224" s="106"/>
      <c r="B224" s="126"/>
      <c r="C224" s="126"/>
      <c r="D224" s="107"/>
      <c r="E224" s="126"/>
      <c r="F224" s="108"/>
      <c r="G224" s="108"/>
      <c r="H224" s="108"/>
      <c r="I224" s="108"/>
      <c r="J224" s="109"/>
      <c r="K224" s="14"/>
      <c r="L224" s="13"/>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row>
    <row r="225" spans="1:34" x14ac:dyDescent="0.25">
      <c r="A225" s="106"/>
      <c r="B225" s="126"/>
      <c r="C225" s="126"/>
      <c r="D225" s="107"/>
      <c r="E225" s="126"/>
      <c r="F225" s="108"/>
      <c r="G225" s="108"/>
      <c r="H225" s="108"/>
      <c r="I225" s="108"/>
      <c r="J225" s="109"/>
      <c r="K225" s="14"/>
      <c r="L225" s="13"/>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row>
    <row r="226" spans="1:34" x14ac:dyDescent="0.25">
      <c r="A226" s="106"/>
      <c r="B226" s="126"/>
      <c r="C226" s="126"/>
      <c r="D226" s="107"/>
      <c r="E226" s="126"/>
      <c r="F226" s="108"/>
      <c r="G226" s="108"/>
      <c r="H226" s="108"/>
      <c r="I226" s="108"/>
      <c r="J226" s="109"/>
      <c r="K226" s="14"/>
      <c r="L226" s="13"/>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row>
    <row r="227" spans="1:34" x14ac:dyDescent="0.25">
      <c r="A227" s="106"/>
      <c r="B227" s="126"/>
      <c r="C227" s="126"/>
      <c r="D227" s="107"/>
      <c r="E227" s="126"/>
      <c r="F227" s="108"/>
      <c r="G227" s="108"/>
      <c r="H227" s="108"/>
      <c r="I227" s="108"/>
      <c r="J227" s="109"/>
      <c r="K227" s="14"/>
      <c r="L227" s="13"/>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row>
    <row r="228" spans="1:34" x14ac:dyDescent="0.25">
      <c r="A228" s="106"/>
      <c r="B228" s="126"/>
      <c r="C228" s="126"/>
      <c r="D228" s="107"/>
      <c r="E228" s="126"/>
      <c r="F228" s="108"/>
      <c r="G228" s="108"/>
      <c r="H228" s="108"/>
      <c r="I228" s="108"/>
      <c r="J228" s="109"/>
      <c r="K228" s="14"/>
      <c r="L228" s="13"/>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row>
    <row r="229" spans="1:34" x14ac:dyDescent="0.25">
      <c r="A229" s="106"/>
      <c r="B229" s="126"/>
      <c r="C229" s="126"/>
      <c r="D229" s="107"/>
      <c r="E229" s="126"/>
      <c r="F229" s="108"/>
      <c r="G229" s="108"/>
      <c r="H229" s="108"/>
      <c r="I229" s="108"/>
      <c r="J229" s="109"/>
      <c r="K229" s="14"/>
      <c r="L229" s="13"/>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row>
    <row r="230" spans="1:34" x14ac:dyDescent="0.25">
      <c r="A230" s="106"/>
      <c r="B230" s="126"/>
      <c r="C230" s="126"/>
      <c r="D230" s="107"/>
      <c r="E230" s="126"/>
      <c r="F230" s="108"/>
      <c r="G230" s="108"/>
      <c r="H230" s="108"/>
      <c r="I230" s="108"/>
      <c r="J230" s="109"/>
      <c r="K230" s="14"/>
      <c r="L230" s="13"/>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row>
    <row r="231" spans="1:34" x14ac:dyDescent="0.25">
      <c r="A231" s="106"/>
      <c r="B231" s="126"/>
      <c r="C231" s="126"/>
      <c r="D231" s="107"/>
      <c r="E231" s="126"/>
      <c r="F231" s="108"/>
      <c r="G231" s="108"/>
      <c r="H231" s="108"/>
      <c r="I231" s="108"/>
      <c r="J231" s="109"/>
      <c r="K231" s="14"/>
      <c r="L231" s="13"/>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row>
    <row r="232" spans="1:34" x14ac:dyDescent="0.25">
      <c r="A232" s="106"/>
      <c r="E232" s="126"/>
      <c r="F232" s="108"/>
      <c r="G232" s="108"/>
      <c r="H232" s="108"/>
      <c r="I232" s="108"/>
      <c r="J232" s="109"/>
      <c r="K232" s="14"/>
      <c r="L232" s="13"/>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row>
    <row r="233" spans="1:34" x14ac:dyDescent="0.25">
      <c r="A233" s="106"/>
      <c r="K233" s="14"/>
      <c r="L233" s="13"/>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row>
    <row r="234" spans="1:34" x14ac:dyDescent="0.25">
      <c r="A234" s="106"/>
      <c r="K234" s="14"/>
      <c r="L234" s="13"/>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row>
    <row r="235" spans="1:34" x14ac:dyDescent="0.25">
      <c r="A235" s="106"/>
      <c r="K235" s="14"/>
      <c r="L235" s="13"/>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row>
  </sheetData>
  <mergeCells count="136">
    <mergeCell ref="B122:G122"/>
    <mergeCell ref="F84:G84"/>
    <mergeCell ref="F85:G85"/>
    <mergeCell ref="F86:G86"/>
    <mergeCell ref="F72:G72"/>
    <mergeCell ref="F74:G74"/>
    <mergeCell ref="F75:G75"/>
    <mergeCell ref="F76:G76"/>
    <mergeCell ref="F77:G77"/>
    <mergeCell ref="F79:G79"/>
    <mergeCell ref="F80:G80"/>
    <mergeCell ref="F117:G117"/>
    <mergeCell ref="B118:G118"/>
    <mergeCell ref="B90:G90"/>
    <mergeCell ref="F89:G89"/>
    <mergeCell ref="F92:G92"/>
    <mergeCell ref="F120:G120"/>
    <mergeCell ref="F121:G121"/>
    <mergeCell ref="F109:G109"/>
    <mergeCell ref="F97:G97"/>
    <mergeCell ref="F81:G81"/>
    <mergeCell ref="F82:G82"/>
    <mergeCell ref="F73:G73"/>
    <mergeCell ref="F78:G78"/>
    <mergeCell ref="F52:G52"/>
    <mergeCell ref="F69:G69"/>
    <mergeCell ref="F60:G60"/>
    <mergeCell ref="F61:G61"/>
    <mergeCell ref="H118:I118"/>
    <mergeCell ref="B111:G111"/>
    <mergeCell ref="F100:G100"/>
    <mergeCell ref="F107:G107"/>
    <mergeCell ref="F101:G101"/>
    <mergeCell ref="F102:G102"/>
    <mergeCell ref="F103:G103"/>
    <mergeCell ref="F104:G104"/>
    <mergeCell ref="F105:G105"/>
    <mergeCell ref="F106:G106"/>
    <mergeCell ref="H111:I111"/>
    <mergeCell ref="F110:G110"/>
    <mergeCell ref="H90:I90"/>
    <mergeCell ref="D63:J63"/>
    <mergeCell ref="B62:G62"/>
    <mergeCell ref="H62:I62"/>
    <mergeCell ref="F64:G64"/>
    <mergeCell ref="F83:G83"/>
    <mergeCell ref="F87:G87"/>
    <mergeCell ref="F70:G70"/>
    <mergeCell ref="F71:G71"/>
    <mergeCell ref="F88:G88"/>
    <mergeCell ref="F49:G49"/>
    <mergeCell ref="B1:J3"/>
    <mergeCell ref="F22:G22"/>
    <mergeCell ref="H19:J19"/>
    <mergeCell ref="E19:G19"/>
    <mergeCell ref="B4:J4"/>
    <mergeCell ref="B21:J21"/>
    <mergeCell ref="E18:G18"/>
    <mergeCell ref="H18:J18"/>
    <mergeCell ref="B14:J14"/>
    <mergeCell ref="B15:C15"/>
    <mergeCell ref="B16:C16"/>
    <mergeCell ref="B17:C17"/>
    <mergeCell ref="B18:C18"/>
    <mergeCell ref="B19:C19"/>
    <mergeCell ref="D16:J16"/>
    <mergeCell ref="D17:J17"/>
    <mergeCell ref="E20:G20"/>
    <mergeCell ref="H20:J20"/>
    <mergeCell ref="B20:C20"/>
    <mergeCell ref="D15:J15"/>
    <mergeCell ref="G176:J176"/>
    <mergeCell ref="G173:J173"/>
    <mergeCell ref="G174:J174"/>
    <mergeCell ref="F94:G94"/>
    <mergeCell ref="F93:G93"/>
    <mergeCell ref="D91:J91"/>
    <mergeCell ref="B123:I123"/>
    <mergeCell ref="G175:J175"/>
    <mergeCell ref="D112:J112"/>
    <mergeCell ref="F113:G113"/>
    <mergeCell ref="F114:G114"/>
    <mergeCell ref="F95:G95"/>
    <mergeCell ref="I125:J125"/>
    <mergeCell ref="F116:G116"/>
    <mergeCell ref="F115:G115"/>
    <mergeCell ref="F96:G96"/>
    <mergeCell ref="F98:G98"/>
    <mergeCell ref="F99:G99"/>
    <mergeCell ref="F108:G108"/>
    <mergeCell ref="H122:I122"/>
    <mergeCell ref="D119:J119"/>
    <mergeCell ref="F24:G24"/>
    <mergeCell ref="F27:G27"/>
    <mergeCell ref="D23:J23"/>
    <mergeCell ref="B25:G25"/>
    <mergeCell ref="F28:G28"/>
    <mergeCell ref="F36:G36"/>
    <mergeCell ref="D26:J26"/>
    <mergeCell ref="H25:I25"/>
    <mergeCell ref="D39:J39"/>
    <mergeCell ref="F29:G29"/>
    <mergeCell ref="F30:G30"/>
    <mergeCell ref="B31:G31"/>
    <mergeCell ref="F33:G33"/>
    <mergeCell ref="F34:G34"/>
    <mergeCell ref="D32:J32"/>
    <mergeCell ref="F37:G37"/>
    <mergeCell ref="F35:G35"/>
    <mergeCell ref="B38:G38"/>
    <mergeCell ref="H31:I31"/>
    <mergeCell ref="H38:I38"/>
    <mergeCell ref="F43:G43"/>
    <mergeCell ref="H46:I46"/>
    <mergeCell ref="D47:J47"/>
    <mergeCell ref="F40:G40"/>
    <mergeCell ref="F65:G65"/>
    <mergeCell ref="F66:G66"/>
    <mergeCell ref="F67:G67"/>
    <mergeCell ref="F68:G68"/>
    <mergeCell ref="F41:G41"/>
    <mergeCell ref="F42:G42"/>
    <mergeCell ref="F59:G59"/>
    <mergeCell ref="F44:G44"/>
    <mergeCell ref="F45:G45"/>
    <mergeCell ref="F50:G50"/>
    <mergeCell ref="B46:G46"/>
    <mergeCell ref="F48:G48"/>
    <mergeCell ref="B53:G53"/>
    <mergeCell ref="H53:I53"/>
    <mergeCell ref="D54:J54"/>
    <mergeCell ref="F55:G55"/>
    <mergeCell ref="F56:G56"/>
    <mergeCell ref="F57:G57"/>
    <mergeCell ref="F58:G58"/>
    <mergeCell ref="F51:G51"/>
  </mergeCells>
  <phoneticPr fontId="38" type="noConversion"/>
  <conditionalFormatting sqref="D174">
    <cfRule type="cellIs" dxfId="12" priority="203" stopIfTrue="1" operator="equal">
      <formula>0</formula>
    </cfRule>
  </conditionalFormatting>
  <conditionalFormatting sqref="D173">
    <cfRule type="cellIs" dxfId="11" priority="204" stopIfTrue="1" operator="equal">
      <formula>0</formula>
    </cfRule>
  </conditionalFormatting>
  <conditionalFormatting sqref="D163">
    <cfRule type="cellIs" dxfId="10" priority="183" stopIfTrue="1" operator="equal">
      <formula>0</formula>
    </cfRule>
  </conditionalFormatting>
  <conditionalFormatting sqref="D162">
    <cfRule type="cellIs" dxfId="9" priority="184" stopIfTrue="1" operator="equal">
      <formula>0</formula>
    </cfRule>
  </conditionalFormatting>
  <pageMargins left="0.39370078740157483" right="0.19685039370078741" top="0.78740157480314965" bottom="0.39370078740157483" header="0.31496062992125984" footer="0.31496062992125984"/>
  <pageSetup paperSize="9" scale="72" fitToHeight="0" orientation="portrait" r:id="rId1"/>
  <ignoredErrors>
    <ignoredError sqref="F66 F81 F10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S1000"/>
  <sheetViews>
    <sheetView topLeftCell="A22" zoomScale="85" zoomScaleNormal="85" workbookViewId="0">
      <selection activeCell="M19" sqref="M19"/>
    </sheetView>
  </sheetViews>
  <sheetFormatPr defaultColWidth="17.28515625" defaultRowHeight="15" x14ac:dyDescent="0.25"/>
  <cols>
    <col min="1" max="1" width="2.28515625" style="20" customWidth="1"/>
    <col min="2" max="2" width="35.85546875" style="20" customWidth="1"/>
    <col min="3" max="3" width="19.28515625" style="20" customWidth="1"/>
    <col min="4" max="6" width="14.7109375" style="20" customWidth="1"/>
    <col min="7" max="7" width="2.28515625" style="20" customWidth="1"/>
    <col min="8" max="8" width="3.28515625" style="20" customWidth="1"/>
    <col min="9" max="9" width="23.140625" style="20" hidden="1" customWidth="1"/>
    <col min="10" max="10" width="47.7109375" style="20" hidden="1" customWidth="1"/>
    <col min="11" max="12" width="9.140625" style="20" customWidth="1"/>
    <col min="13" max="13" width="18.7109375" style="20" customWidth="1"/>
    <col min="14" max="14" width="0" style="20" hidden="1" customWidth="1"/>
    <col min="15" max="15" width="15.42578125" style="20" hidden="1" customWidth="1"/>
    <col min="16" max="16" width="41.7109375" style="20" hidden="1" customWidth="1"/>
    <col min="17" max="17" width="18.85546875" style="20" hidden="1" customWidth="1"/>
    <col min="18" max="24" width="11.7109375" style="20" hidden="1" customWidth="1"/>
    <col min="25" max="37" width="0" style="20" hidden="1" customWidth="1"/>
    <col min="38" max="38" width="13.85546875" style="20" hidden="1" customWidth="1"/>
    <col min="39" max="39" width="38.7109375" style="20" hidden="1" customWidth="1"/>
    <col min="40" max="40" width="11.85546875" style="20" hidden="1" customWidth="1"/>
    <col min="41" max="41" width="8.7109375" style="20" hidden="1" customWidth="1"/>
    <col min="42" max="42" width="11.85546875" style="20" hidden="1" customWidth="1"/>
    <col min="43" max="43" width="9.28515625" style="20" hidden="1" customWidth="1"/>
    <col min="44" max="44" width="11.85546875" style="20" hidden="1" customWidth="1"/>
    <col min="45" max="45" width="7.28515625" style="20" hidden="1" customWidth="1"/>
    <col min="46" max="46" width="9.140625" style="20" customWidth="1"/>
    <col min="47" max="47" width="13.28515625" style="20" customWidth="1"/>
    <col min="48" max="71" width="9.140625" style="20" customWidth="1"/>
    <col min="72" max="72" width="22.7109375" style="20" customWidth="1"/>
    <col min="73" max="73" width="29" style="20" customWidth="1"/>
    <col min="74" max="74" width="9.5703125" style="20" customWidth="1"/>
    <col min="75" max="75" width="11.5703125" style="20" customWidth="1"/>
    <col min="76" max="76" width="10.7109375" style="20" customWidth="1"/>
    <col min="77" max="77" width="9.140625" style="20" customWidth="1"/>
    <col min="78" max="81" width="2.42578125" style="20" customWidth="1"/>
    <col min="82" max="82" width="4.85546875" style="20" customWidth="1"/>
    <col min="83" max="83" width="29.42578125" style="20" customWidth="1"/>
    <col min="84" max="84" width="17" style="20" customWidth="1"/>
    <col min="85" max="85" width="14.42578125" style="20" customWidth="1"/>
    <col min="86" max="86" width="17" style="20" customWidth="1"/>
    <col min="87" max="87" width="8.85546875" style="20" customWidth="1"/>
    <col min="88" max="97" width="2.42578125" style="20" customWidth="1"/>
    <col min="98" max="256" width="17.28515625" style="20"/>
    <col min="257" max="257" width="2.28515625" style="20" customWidth="1"/>
    <col min="258" max="258" width="35.85546875" style="20" customWidth="1"/>
    <col min="259" max="259" width="19.28515625" style="20" customWidth="1"/>
    <col min="260" max="262" width="14.7109375" style="20" customWidth="1"/>
    <col min="263" max="263" width="2.28515625" style="20" customWidth="1"/>
    <col min="264" max="264" width="3.28515625" style="20" customWidth="1"/>
    <col min="265" max="266" width="0" style="20" hidden="1" customWidth="1"/>
    <col min="267" max="268" width="9.140625" style="20" customWidth="1"/>
    <col min="269" max="269" width="18.7109375" style="20" customWidth="1"/>
    <col min="270" max="301" width="0" style="20" hidden="1" customWidth="1"/>
    <col min="302" max="302" width="9.140625" style="20" customWidth="1"/>
    <col min="303" max="303" width="13.28515625" style="20" customWidth="1"/>
    <col min="304" max="327" width="9.140625" style="20" customWidth="1"/>
    <col min="328" max="328" width="22.7109375" style="20" customWidth="1"/>
    <col min="329" max="329" width="29" style="20" customWidth="1"/>
    <col min="330" max="330" width="9.5703125" style="20" customWidth="1"/>
    <col min="331" max="331" width="11.5703125" style="20" customWidth="1"/>
    <col min="332" max="332" width="10.7109375" style="20" customWidth="1"/>
    <col min="333" max="333" width="9.140625" style="20" customWidth="1"/>
    <col min="334" max="337" width="2.42578125" style="20" customWidth="1"/>
    <col min="338" max="338" width="4.85546875" style="20" customWidth="1"/>
    <col min="339" max="339" width="29.42578125" style="20" customWidth="1"/>
    <col min="340" max="340" width="17" style="20" customWidth="1"/>
    <col min="341" max="341" width="14.42578125" style="20" customWidth="1"/>
    <col min="342" max="342" width="17" style="20" customWidth="1"/>
    <col min="343" max="343" width="8.85546875" style="20" customWidth="1"/>
    <col min="344" max="353" width="2.42578125" style="20" customWidth="1"/>
    <col min="354" max="512" width="17.28515625" style="20"/>
    <col min="513" max="513" width="2.28515625" style="20" customWidth="1"/>
    <col min="514" max="514" width="35.85546875" style="20" customWidth="1"/>
    <col min="515" max="515" width="19.28515625" style="20" customWidth="1"/>
    <col min="516" max="518" width="14.7109375" style="20" customWidth="1"/>
    <col min="519" max="519" width="2.28515625" style="20" customWidth="1"/>
    <col min="520" max="520" width="3.28515625" style="20" customWidth="1"/>
    <col min="521" max="522" width="0" style="20" hidden="1" customWidth="1"/>
    <col min="523" max="524" width="9.140625" style="20" customWidth="1"/>
    <col min="525" max="525" width="18.7109375" style="20" customWidth="1"/>
    <col min="526" max="557" width="0" style="20" hidden="1" customWidth="1"/>
    <col min="558" max="558" width="9.140625" style="20" customWidth="1"/>
    <col min="559" max="559" width="13.28515625" style="20" customWidth="1"/>
    <col min="560" max="583" width="9.140625" style="20" customWidth="1"/>
    <col min="584" max="584" width="22.7109375" style="20" customWidth="1"/>
    <col min="585" max="585" width="29" style="20" customWidth="1"/>
    <col min="586" max="586" width="9.5703125" style="20" customWidth="1"/>
    <col min="587" max="587" width="11.5703125" style="20" customWidth="1"/>
    <col min="588" max="588" width="10.7109375" style="20" customWidth="1"/>
    <col min="589" max="589" width="9.140625" style="20" customWidth="1"/>
    <col min="590" max="593" width="2.42578125" style="20" customWidth="1"/>
    <col min="594" max="594" width="4.85546875" style="20" customWidth="1"/>
    <col min="595" max="595" width="29.42578125" style="20" customWidth="1"/>
    <col min="596" max="596" width="17" style="20" customWidth="1"/>
    <col min="597" max="597" width="14.42578125" style="20" customWidth="1"/>
    <col min="598" max="598" width="17" style="20" customWidth="1"/>
    <col min="599" max="599" width="8.85546875" style="20" customWidth="1"/>
    <col min="600" max="609" width="2.42578125" style="20" customWidth="1"/>
    <col min="610" max="768" width="17.28515625" style="20"/>
    <col min="769" max="769" width="2.28515625" style="20" customWidth="1"/>
    <col min="770" max="770" width="35.85546875" style="20" customWidth="1"/>
    <col min="771" max="771" width="19.28515625" style="20" customWidth="1"/>
    <col min="772" max="774" width="14.7109375" style="20" customWidth="1"/>
    <col min="775" max="775" width="2.28515625" style="20" customWidth="1"/>
    <col min="776" max="776" width="3.28515625" style="20" customWidth="1"/>
    <col min="777" max="778" width="0" style="20" hidden="1" customWidth="1"/>
    <col min="779" max="780" width="9.140625" style="20" customWidth="1"/>
    <col min="781" max="781" width="18.7109375" style="20" customWidth="1"/>
    <col min="782" max="813" width="0" style="20" hidden="1" customWidth="1"/>
    <col min="814" max="814" width="9.140625" style="20" customWidth="1"/>
    <col min="815" max="815" width="13.28515625" style="20" customWidth="1"/>
    <col min="816" max="839" width="9.140625" style="20" customWidth="1"/>
    <col min="840" max="840" width="22.7109375" style="20" customWidth="1"/>
    <col min="841" max="841" width="29" style="20" customWidth="1"/>
    <col min="842" max="842" width="9.5703125" style="20" customWidth="1"/>
    <col min="843" max="843" width="11.5703125" style="20" customWidth="1"/>
    <col min="844" max="844" width="10.7109375" style="20" customWidth="1"/>
    <col min="845" max="845" width="9.140625" style="20" customWidth="1"/>
    <col min="846" max="849" width="2.42578125" style="20" customWidth="1"/>
    <col min="850" max="850" width="4.85546875" style="20" customWidth="1"/>
    <col min="851" max="851" width="29.42578125" style="20" customWidth="1"/>
    <col min="852" max="852" width="17" style="20" customWidth="1"/>
    <col min="853" max="853" width="14.42578125" style="20" customWidth="1"/>
    <col min="854" max="854" width="17" style="20" customWidth="1"/>
    <col min="855" max="855" width="8.85546875" style="20" customWidth="1"/>
    <col min="856" max="865" width="2.42578125" style="20" customWidth="1"/>
    <col min="866" max="1024" width="17.28515625" style="20"/>
    <col min="1025" max="1025" width="2.28515625" style="20" customWidth="1"/>
    <col min="1026" max="1026" width="35.85546875" style="20" customWidth="1"/>
    <col min="1027" max="1027" width="19.28515625" style="20" customWidth="1"/>
    <col min="1028" max="1030" width="14.7109375" style="20" customWidth="1"/>
    <col min="1031" max="1031" width="2.28515625" style="20" customWidth="1"/>
    <col min="1032" max="1032" width="3.28515625" style="20" customWidth="1"/>
    <col min="1033" max="1034" width="0" style="20" hidden="1" customWidth="1"/>
    <col min="1035" max="1036" width="9.140625" style="20" customWidth="1"/>
    <col min="1037" max="1037" width="18.7109375" style="20" customWidth="1"/>
    <col min="1038" max="1069" width="0" style="20" hidden="1" customWidth="1"/>
    <col min="1070" max="1070" width="9.140625" style="20" customWidth="1"/>
    <col min="1071" max="1071" width="13.28515625" style="20" customWidth="1"/>
    <col min="1072" max="1095" width="9.140625" style="20" customWidth="1"/>
    <col min="1096" max="1096" width="22.7109375" style="20" customWidth="1"/>
    <col min="1097" max="1097" width="29" style="20" customWidth="1"/>
    <col min="1098" max="1098" width="9.5703125" style="20" customWidth="1"/>
    <col min="1099" max="1099" width="11.5703125" style="20" customWidth="1"/>
    <col min="1100" max="1100" width="10.7109375" style="20" customWidth="1"/>
    <col min="1101" max="1101" width="9.140625" style="20" customWidth="1"/>
    <col min="1102" max="1105" width="2.42578125" style="20" customWidth="1"/>
    <col min="1106" max="1106" width="4.85546875" style="20" customWidth="1"/>
    <col min="1107" max="1107" width="29.42578125" style="20" customWidth="1"/>
    <col min="1108" max="1108" width="17" style="20" customWidth="1"/>
    <col min="1109" max="1109" width="14.42578125" style="20" customWidth="1"/>
    <col min="1110" max="1110" width="17" style="20" customWidth="1"/>
    <col min="1111" max="1111" width="8.85546875" style="20" customWidth="1"/>
    <col min="1112" max="1121" width="2.42578125" style="20" customWidth="1"/>
    <col min="1122" max="1280" width="17.28515625" style="20"/>
    <col min="1281" max="1281" width="2.28515625" style="20" customWidth="1"/>
    <col min="1282" max="1282" width="35.85546875" style="20" customWidth="1"/>
    <col min="1283" max="1283" width="19.28515625" style="20" customWidth="1"/>
    <col min="1284" max="1286" width="14.7109375" style="20" customWidth="1"/>
    <col min="1287" max="1287" width="2.28515625" style="20" customWidth="1"/>
    <col min="1288" max="1288" width="3.28515625" style="20" customWidth="1"/>
    <col min="1289" max="1290" width="0" style="20" hidden="1" customWidth="1"/>
    <col min="1291" max="1292" width="9.140625" style="20" customWidth="1"/>
    <col min="1293" max="1293" width="18.7109375" style="20" customWidth="1"/>
    <col min="1294" max="1325" width="0" style="20" hidden="1" customWidth="1"/>
    <col min="1326" max="1326" width="9.140625" style="20" customWidth="1"/>
    <col min="1327" max="1327" width="13.28515625" style="20" customWidth="1"/>
    <col min="1328" max="1351" width="9.140625" style="20" customWidth="1"/>
    <col min="1352" max="1352" width="22.7109375" style="20" customWidth="1"/>
    <col min="1353" max="1353" width="29" style="20" customWidth="1"/>
    <col min="1354" max="1354" width="9.5703125" style="20" customWidth="1"/>
    <col min="1355" max="1355" width="11.5703125" style="20" customWidth="1"/>
    <col min="1356" max="1356" width="10.7109375" style="20" customWidth="1"/>
    <col min="1357" max="1357" width="9.140625" style="20" customWidth="1"/>
    <col min="1358" max="1361" width="2.42578125" style="20" customWidth="1"/>
    <col min="1362" max="1362" width="4.85546875" style="20" customWidth="1"/>
    <col min="1363" max="1363" width="29.42578125" style="20" customWidth="1"/>
    <col min="1364" max="1364" width="17" style="20" customWidth="1"/>
    <col min="1365" max="1365" width="14.42578125" style="20" customWidth="1"/>
    <col min="1366" max="1366" width="17" style="20" customWidth="1"/>
    <col min="1367" max="1367" width="8.85546875" style="20" customWidth="1"/>
    <col min="1368" max="1377" width="2.42578125" style="20" customWidth="1"/>
    <col min="1378" max="1536" width="17.28515625" style="20"/>
    <col min="1537" max="1537" width="2.28515625" style="20" customWidth="1"/>
    <col min="1538" max="1538" width="35.85546875" style="20" customWidth="1"/>
    <col min="1539" max="1539" width="19.28515625" style="20" customWidth="1"/>
    <col min="1540" max="1542" width="14.7109375" style="20" customWidth="1"/>
    <col min="1543" max="1543" width="2.28515625" style="20" customWidth="1"/>
    <col min="1544" max="1544" width="3.28515625" style="20" customWidth="1"/>
    <col min="1545" max="1546" width="0" style="20" hidden="1" customWidth="1"/>
    <col min="1547" max="1548" width="9.140625" style="20" customWidth="1"/>
    <col min="1549" max="1549" width="18.7109375" style="20" customWidth="1"/>
    <col min="1550" max="1581" width="0" style="20" hidden="1" customWidth="1"/>
    <col min="1582" max="1582" width="9.140625" style="20" customWidth="1"/>
    <col min="1583" max="1583" width="13.28515625" style="20" customWidth="1"/>
    <col min="1584" max="1607" width="9.140625" style="20" customWidth="1"/>
    <col min="1608" max="1608" width="22.7109375" style="20" customWidth="1"/>
    <col min="1609" max="1609" width="29" style="20" customWidth="1"/>
    <col min="1610" max="1610" width="9.5703125" style="20" customWidth="1"/>
    <col min="1611" max="1611" width="11.5703125" style="20" customWidth="1"/>
    <col min="1612" max="1612" width="10.7109375" style="20" customWidth="1"/>
    <col min="1613" max="1613" width="9.140625" style="20" customWidth="1"/>
    <col min="1614" max="1617" width="2.42578125" style="20" customWidth="1"/>
    <col min="1618" max="1618" width="4.85546875" style="20" customWidth="1"/>
    <col min="1619" max="1619" width="29.42578125" style="20" customWidth="1"/>
    <col min="1620" max="1620" width="17" style="20" customWidth="1"/>
    <col min="1621" max="1621" width="14.42578125" style="20" customWidth="1"/>
    <col min="1622" max="1622" width="17" style="20" customWidth="1"/>
    <col min="1623" max="1623" width="8.85546875" style="20" customWidth="1"/>
    <col min="1624" max="1633" width="2.42578125" style="20" customWidth="1"/>
    <col min="1634" max="1792" width="17.28515625" style="20"/>
    <col min="1793" max="1793" width="2.28515625" style="20" customWidth="1"/>
    <col min="1794" max="1794" width="35.85546875" style="20" customWidth="1"/>
    <col min="1795" max="1795" width="19.28515625" style="20" customWidth="1"/>
    <col min="1796" max="1798" width="14.7109375" style="20" customWidth="1"/>
    <col min="1799" max="1799" width="2.28515625" style="20" customWidth="1"/>
    <col min="1800" max="1800" width="3.28515625" style="20" customWidth="1"/>
    <col min="1801" max="1802" width="0" style="20" hidden="1" customWidth="1"/>
    <col min="1803" max="1804" width="9.140625" style="20" customWidth="1"/>
    <col min="1805" max="1805" width="18.7109375" style="20" customWidth="1"/>
    <col min="1806" max="1837" width="0" style="20" hidden="1" customWidth="1"/>
    <col min="1838" max="1838" width="9.140625" style="20" customWidth="1"/>
    <col min="1839" max="1839" width="13.28515625" style="20" customWidth="1"/>
    <col min="1840" max="1863" width="9.140625" style="20" customWidth="1"/>
    <col min="1864" max="1864" width="22.7109375" style="20" customWidth="1"/>
    <col min="1865" max="1865" width="29" style="20" customWidth="1"/>
    <col min="1866" max="1866" width="9.5703125" style="20" customWidth="1"/>
    <col min="1867" max="1867" width="11.5703125" style="20" customWidth="1"/>
    <col min="1868" max="1868" width="10.7109375" style="20" customWidth="1"/>
    <col min="1869" max="1869" width="9.140625" style="20" customWidth="1"/>
    <col min="1870" max="1873" width="2.42578125" style="20" customWidth="1"/>
    <col min="1874" max="1874" width="4.85546875" style="20" customWidth="1"/>
    <col min="1875" max="1875" width="29.42578125" style="20" customWidth="1"/>
    <col min="1876" max="1876" width="17" style="20" customWidth="1"/>
    <col min="1877" max="1877" width="14.42578125" style="20" customWidth="1"/>
    <col min="1878" max="1878" width="17" style="20" customWidth="1"/>
    <col min="1879" max="1879" width="8.85546875" style="20" customWidth="1"/>
    <col min="1880" max="1889" width="2.42578125" style="20" customWidth="1"/>
    <col min="1890" max="2048" width="17.28515625" style="20"/>
    <col min="2049" max="2049" width="2.28515625" style="20" customWidth="1"/>
    <col min="2050" max="2050" width="35.85546875" style="20" customWidth="1"/>
    <col min="2051" max="2051" width="19.28515625" style="20" customWidth="1"/>
    <col min="2052" max="2054" width="14.7109375" style="20" customWidth="1"/>
    <col min="2055" max="2055" width="2.28515625" style="20" customWidth="1"/>
    <col min="2056" max="2056" width="3.28515625" style="20" customWidth="1"/>
    <col min="2057" max="2058" width="0" style="20" hidden="1" customWidth="1"/>
    <col min="2059" max="2060" width="9.140625" style="20" customWidth="1"/>
    <col min="2061" max="2061" width="18.7109375" style="20" customWidth="1"/>
    <col min="2062" max="2093" width="0" style="20" hidden="1" customWidth="1"/>
    <col min="2094" max="2094" width="9.140625" style="20" customWidth="1"/>
    <col min="2095" max="2095" width="13.28515625" style="20" customWidth="1"/>
    <col min="2096" max="2119" width="9.140625" style="20" customWidth="1"/>
    <col min="2120" max="2120" width="22.7109375" style="20" customWidth="1"/>
    <col min="2121" max="2121" width="29" style="20" customWidth="1"/>
    <col min="2122" max="2122" width="9.5703125" style="20" customWidth="1"/>
    <col min="2123" max="2123" width="11.5703125" style="20" customWidth="1"/>
    <col min="2124" max="2124" width="10.7109375" style="20" customWidth="1"/>
    <col min="2125" max="2125" width="9.140625" style="20" customWidth="1"/>
    <col min="2126" max="2129" width="2.42578125" style="20" customWidth="1"/>
    <col min="2130" max="2130" width="4.85546875" style="20" customWidth="1"/>
    <col min="2131" max="2131" width="29.42578125" style="20" customWidth="1"/>
    <col min="2132" max="2132" width="17" style="20" customWidth="1"/>
    <col min="2133" max="2133" width="14.42578125" style="20" customWidth="1"/>
    <col min="2134" max="2134" width="17" style="20" customWidth="1"/>
    <col min="2135" max="2135" width="8.85546875" style="20" customWidth="1"/>
    <col min="2136" max="2145" width="2.42578125" style="20" customWidth="1"/>
    <col min="2146" max="2304" width="17.28515625" style="20"/>
    <col min="2305" max="2305" width="2.28515625" style="20" customWidth="1"/>
    <col min="2306" max="2306" width="35.85546875" style="20" customWidth="1"/>
    <col min="2307" max="2307" width="19.28515625" style="20" customWidth="1"/>
    <col min="2308" max="2310" width="14.7109375" style="20" customWidth="1"/>
    <col min="2311" max="2311" width="2.28515625" style="20" customWidth="1"/>
    <col min="2312" max="2312" width="3.28515625" style="20" customWidth="1"/>
    <col min="2313" max="2314" width="0" style="20" hidden="1" customWidth="1"/>
    <col min="2315" max="2316" width="9.140625" style="20" customWidth="1"/>
    <col min="2317" max="2317" width="18.7109375" style="20" customWidth="1"/>
    <col min="2318" max="2349" width="0" style="20" hidden="1" customWidth="1"/>
    <col min="2350" max="2350" width="9.140625" style="20" customWidth="1"/>
    <col min="2351" max="2351" width="13.28515625" style="20" customWidth="1"/>
    <col min="2352" max="2375" width="9.140625" style="20" customWidth="1"/>
    <col min="2376" max="2376" width="22.7109375" style="20" customWidth="1"/>
    <col min="2377" max="2377" width="29" style="20" customWidth="1"/>
    <col min="2378" max="2378" width="9.5703125" style="20" customWidth="1"/>
    <col min="2379" max="2379" width="11.5703125" style="20" customWidth="1"/>
    <col min="2380" max="2380" width="10.7109375" style="20" customWidth="1"/>
    <col min="2381" max="2381" width="9.140625" style="20" customWidth="1"/>
    <col min="2382" max="2385" width="2.42578125" style="20" customWidth="1"/>
    <col min="2386" max="2386" width="4.85546875" style="20" customWidth="1"/>
    <col min="2387" max="2387" width="29.42578125" style="20" customWidth="1"/>
    <col min="2388" max="2388" width="17" style="20" customWidth="1"/>
    <col min="2389" max="2389" width="14.42578125" style="20" customWidth="1"/>
    <col min="2390" max="2390" width="17" style="20" customWidth="1"/>
    <col min="2391" max="2391" width="8.85546875" style="20" customWidth="1"/>
    <col min="2392" max="2401" width="2.42578125" style="20" customWidth="1"/>
    <col min="2402" max="2560" width="17.28515625" style="20"/>
    <col min="2561" max="2561" width="2.28515625" style="20" customWidth="1"/>
    <col min="2562" max="2562" width="35.85546875" style="20" customWidth="1"/>
    <col min="2563" max="2563" width="19.28515625" style="20" customWidth="1"/>
    <col min="2564" max="2566" width="14.7109375" style="20" customWidth="1"/>
    <col min="2567" max="2567" width="2.28515625" style="20" customWidth="1"/>
    <col min="2568" max="2568" width="3.28515625" style="20" customWidth="1"/>
    <col min="2569" max="2570" width="0" style="20" hidden="1" customWidth="1"/>
    <col min="2571" max="2572" width="9.140625" style="20" customWidth="1"/>
    <col min="2573" max="2573" width="18.7109375" style="20" customWidth="1"/>
    <col min="2574" max="2605" width="0" style="20" hidden="1" customWidth="1"/>
    <col min="2606" max="2606" width="9.140625" style="20" customWidth="1"/>
    <col min="2607" max="2607" width="13.28515625" style="20" customWidth="1"/>
    <col min="2608" max="2631" width="9.140625" style="20" customWidth="1"/>
    <col min="2632" max="2632" width="22.7109375" style="20" customWidth="1"/>
    <col min="2633" max="2633" width="29" style="20" customWidth="1"/>
    <col min="2634" max="2634" width="9.5703125" style="20" customWidth="1"/>
    <col min="2635" max="2635" width="11.5703125" style="20" customWidth="1"/>
    <col min="2636" max="2636" width="10.7109375" style="20" customWidth="1"/>
    <col min="2637" max="2637" width="9.140625" style="20" customWidth="1"/>
    <col min="2638" max="2641" width="2.42578125" style="20" customWidth="1"/>
    <col min="2642" max="2642" width="4.85546875" style="20" customWidth="1"/>
    <col min="2643" max="2643" width="29.42578125" style="20" customWidth="1"/>
    <col min="2644" max="2644" width="17" style="20" customWidth="1"/>
    <col min="2645" max="2645" width="14.42578125" style="20" customWidth="1"/>
    <col min="2646" max="2646" width="17" style="20" customWidth="1"/>
    <col min="2647" max="2647" width="8.85546875" style="20" customWidth="1"/>
    <col min="2648" max="2657" width="2.42578125" style="20" customWidth="1"/>
    <col min="2658" max="2816" width="17.28515625" style="20"/>
    <col min="2817" max="2817" width="2.28515625" style="20" customWidth="1"/>
    <col min="2818" max="2818" width="35.85546875" style="20" customWidth="1"/>
    <col min="2819" max="2819" width="19.28515625" style="20" customWidth="1"/>
    <col min="2820" max="2822" width="14.7109375" style="20" customWidth="1"/>
    <col min="2823" max="2823" width="2.28515625" style="20" customWidth="1"/>
    <col min="2824" max="2824" width="3.28515625" style="20" customWidth="1"/>
    <col min="2825" max="2826" width="0" style="20" hidden="1" customWidth="1"/>
    <col min="2827" max="2828" width="9.140625" style="20" customWidth="1"/>
    <col min="2829" max="2829" width="18.7109375" style="20" customWidth="1"/>
    <col min="2830" max="2861" width="0" style="20" hidden="1" customWidth="1"/>
    <col min="2862" max="2862" width="9.140625" style="20" customWidth="1"/>
    <col min="2863" max="2863" width="13.28515625" style="20" customWidth="1"/>
    <col min="2864" max="2887" width="9.140625" style="20" customWidth="1"/>
    <col min="2888" max="2888" width="22.7109375" style="20" customWidth="1"/>
    <col min="2889" max="2889" width="29" style="20" customWidth="1"/>
    <col min="2890" max="2890" width="9.5703125" style="20" customWidth="1"/>
    <col min="2891" max="2891" width="11.5703125" style="20" customWidth="1"/>
    <col min="2892" max="2892" width="10.7109375" style="20" customWidth="1"/>
    <col min="2893" max="2893" width="9.140625" style="20" customWidth="1"/>
    <col min="2894" max="2897" width="2.42578125" style="20" customWidth="1"/>
    <col min="2898" max="2898" width="4.85546875" style="20" customWidth="1"/>
    <col min="2899" max="2899" width="29.42578125" style="20" customWidth="1"/>
    <col min="2900" max="2900" width="17" style="20" customWidth="1"/>
    <col min="2901" max="2901" width="14.42578125" style="20" customWidth="1"/>
    <col min="2902" max="2902" width="17" style="20" customWidth="1"/>
    <col min="2903" max="2903" width="8.85546875" style="20" customWidth="1"/>
    <col min="2904" max="2913" width="2.42578125" style="20" customWidth="1"/>
    <col min="2914" max="3072" width="17.28515625" style="20"/>
    <col min="3073" max="3073" width="2.28515625" style="20" customWidth="1"/>
    <col min="3074" max="3074" width="35.85546875" style="20" customWidth="1"/>
    <col min="3075" max="3075" width="19.28515625" style="20" customWidth="1"/>
    <col min="3076" max="3078" width="14.7109375" style="20" customWidth="1"/>
    <col min="3079" max="3079" width="2.28515625" style="20" customWidth="1"/>
    <col min="3080" max="3080" width="3.28515625" style="20" customWidth="1"/>
    <col min="3081" max="3082" width="0" style="20" hidden="1" customWidth="1"/>
    <col min="3083" max="3084" width="9.140625" style="20" customWidth="1"/>
    <col min="3085" max="3085" width="18.7109375" style="20" customWidth="1"/>
    <col min="3086" max="3117" width="0" style="20" hidden="1" customWidth="1"/>
    <col min="3118" max="3118" width="9.140625" style="20" customWidth="1"/>
    <col min="3119" max="3119" width="13.28515625" style="20" customWidth="1"/>
    <col min="3120" max="3143" width="9.140625" style="20" customWidth="1"/>
    <col min="3144" max="3144" width="22.7109375" style="20" customWidth="1"/>
    <col min="3145" max="3145" width="29" style="20" customWidth="1"/>
    <col min="3146" max="3146" width="9.5703125" style="20" customWidth="1"/>
    <col min="3147" max="3147" width="11.5703125" style="20" customWidth="1"/>
    <col min="3148" max="3148" width="10.7109375" style="20" customWidth="1"/>
    <col min="3149" max="3149" width="9.140625" style="20" customWidth="1"/>
    <col min="3150" max="3153" width="2.42578125" style="20" customWidth="1"/>
    <col min="3154" max="3154" width="4.85546875" style="20" customWidth="1"/>
    <col min="3155" max="3155" width="29.42578125" style="20" customWidth="1"/>
    <col min="3156" max="3156" width="17" style="20" customWidth="1"/>
    <col min="3157" max="3157" width="14.42578125" style="20" customWidth="1"/>
    <col min="3158" max="3158" width="17" style="20" customWidth="1"/>
    <col min="3159" max="3159" width="8.85546875" style="20" customWidth="1"/>
    <col min="3160" max="3169" width="2.42578125" style="20" customWidth="1"/>
    <col min="3170" max="3328" width="17.28515625" style="20"/>
    <col min="3329" max="3329" width="2.28515625" style="20" customWidth="1"/>
    <col min="3330" max="3330" width="35.85546875" style="20" customWidth="1"/>
    <col min="3331" max="3331" width="19.28515625" style="20" customWidth="1"/>
    <col min="3332" max="3334" width="14.7109375" style="20" customWidth="1"/>
    <col min="3335" max="3335" width="2.28515625" style="20" customWidth="1"/>
    <col min="3336" max="3336" width="3.28515625" style="20" customWidth="1"/>
    <col min="3337" max="3338" width="0" style="20" hidden="1" customWidth="1"/>
    <col min="3339" max="3340" width="9.140625" style="20" customWidth="1"/>
    <col min="3341" max="3341" width="18.7109375" style="20" customWidth="1"/>
    <col min="3342" max="3373" width="0" style="20" hidden="1" customWidth="1"/>
    <col min="3374" max="3374" width="9.140625" style="20" customWidth="1"/>
    <col min="3375" max="3375" width="13.28515625" style="20" customWidth="1"/>
    <col min="3376" max="3399" width="9.140625" style="20" customWidth="1"/>
    <col min="3400" max="3400" width="22.7109375" style="20" customWidth="1"/>
    <col min="3401" max="3401" width="29" style="20" customWidth="1"/>
    <col min="3402" max="3402" width="9.5703125" style="20" customWidth="1"/>
    <col min="3403" max="3403" width="11.5703125" style="20" customWidth="1"/>
    <col min="3404" max="3404" width="10.7109375" style="20" customWidth="1"/>
    <col min="3405" max="3405" width="9.140625" style="20" customWidth="1"/>
    <col min="3406" max="3409" width="2.42578125" style="20" customWidth="1"/>
    <col min="3410" max="3410" width="4.85546875" style="20" customWidth="1"/>
    <col min="3411" max="3411" width="29.42578125" style="20" customWidth="1"/>
    <col min="3412" max="3412" width="17" style="20" customWidth="1"/>
    <col min="3413" max="3413" width="14.42578125" style="20" customWidth="1"/>
    <col min="3414" max="3414" width="17" style="20" customWidth="1"/>
    <col min="3415" max="3415" width="8.85546875" style="20" customWidth="1"/>
    <col min="3416" max="3425" width="2.42578125" style="20" customWidth="1"/>
    <col min="3426" max="3584" width="17.28515625" style="20"/>
    <col min="3585" max="3585" width="2.28515625" style="20" customWidth="1"/>
    <col min="3586" max="3586" width="35.85546875" style="20" customWidth="1"/>
    <col min="3587" max="3587" width="19.28515625" style="20" customWidth="1"/>
    <col min="3588" max="3590" width="14.7109375" style="20" customWidth="1"/>
    <col min="3591" max="3591" width="2.28515625" style="20" customWidth="1"/>
    <col min="3592" max="3592" width="3.28515625" style="20" customWidth="1"/>
    <col min="3593" max="3594" width="0" style="20" hidden="1" customWidth="1"/>
    <col min="3595" max="3596" width="9.140625" style="20" customWidth="1"/>
    <col min="3597" max="3597" width="18.7109375" style="20" customWidth="1"/>
    <col min="3598" max="3629" width="0" style="20" hidden="1" customWidth="1"/>
    <col min="3630" max="3630" width="9.140625" style="20" customWidth="1"/>
    <col min="3631" max="3631" width="13.28515625" style="20" customWidth="1"/>
    <col min="3632" max="3655" width="9.140625" style="20" customWidth="1"/>
    <col min="3656" max="3656" width="22.7109375" style="20" customWidth="1"/>
    <col min="3657" max="3657" width="29" style="20" customWidth="1"/>
    <col min="3658" max="3658" width="9.5703125" style="20" customWidth="1"/>
    <col min="3659" max="3659" width="11.5703125" style="20" customWidth="1"/>
    <col min="3660" max="3660" width="10.7109375" style="20" customWidth="1"/>
    <col min="3661" max="3661" width="9.140625" style="20" customWidth="1"/>
    <col min="3662" max="3665" width="2.42578125" style="20" customWidth="1"/>
    <col min="3666" max="3666" width="4.85546875" style="20" customWidth="1"/>
    <col min="3667" max="3667" width="29.42578125" style="20" customWidth="1"/>
    <col min="3668" max="3668" width="17" style="20" customWidth="1"/>
    <col min="3669" max="3669" width="14.42578125" style="20" customWidth="1"/>
    <col min="3670" max="3670" width="17" style="20" customWidth="1"/>
    <col min="3671" max="3671" width="8.85546875" style="20" customWidth="1"/>
    <col min="3672" max="3681" width="2.42578125" style="20" customWidth="1"/>
    <col min="3682" max="3840" width="17.28515625" style="20"/>
    <col min="3841" max="3841" width="2.28515625" style="20" customWidth="1"/>
    <col min="3842" max="3842" width="35.85546875" style="20" customWidth="1"/>
    <col min="3843" max="3843" width="19.28515625" style="20" customWidth="1"/>
    <col min="3844" max="3846" width="14.7109375" style="20" customWidth="1"/>
    <col min="3847" max="3847" width="2.28515625" style="20" customWidth="1"/>
    <col min="3848" max="3848" width="3.28515625" style="20" customWidth="1"/>
    <col min="3849" max="3850" width="0" style="20" hidden="1" customWidth="1"/>
    <col min="3851" max="3852" width="9.140625" style="20" customWidth="1"/>
    <col min="3853" max="3853" width="18.7109375" style="20" customWidth="1"/>
    <col min="3854" max="3885" width="0" style="20" hidden="1" customWidth="1"/>
    <col min="3886" max="3886" width="9.140625" style="20" customWidth="1"/>
    <col min="3887" max="3887" width="13.28515625" style="20" customWidth="1"/>
    <col min="3888" max="3911" width="9.140625" style="20" customWidth="1"/>
    <col min="3912" max="3912" width="22.7109375" style="20" customWidth="1"/>
    <col min="3913" max="3913" width="29" style="20" customWidth="1"/>
    <col min="3914" max="3914" width="9.5703125" style="20" customWidth="1"/>
    <col min="3915" max="3915" width="11.5703125" style="20" customWidth="1"/>
    <col min="3916" max="3916" width="10.7109375" style="20" customWidth="1"/>
    <col min="3917" max="3917" width="9.140625" style="20" customWidth="1"/>
    <col min="3918" max="3921" width="2.42578125" style="20" customWidth="1"/>
    <col min="3922" max="3922" width="4.85546875" style="20" customWidth="1"/>
    <col min="3923" max="3923" width="29.42578125" style="20" customWidth="1"/>
    <col min="3924" max="3924" width="17" style="20" customWidth="1"/>
    <col min="3925" max="3925" width="14.42578125" style="20" customWidth="1"/>
    <col min="3926" max="3926" width="17" style="20" customWidth="1"/>
    <col min="3927" max="3927" width="8.85546875" style="20" customWidth="1"/>
    <col min="3928" max="3937" width="2.42578125" style="20" customWidth="1"/>
    <col min="3938" max="4096" width="17.28515625" style="20"/>
    <col min="4097" max="4097" width="2.28515625" style="20" customWidth="1"/>
    <col min="4098" max="4098" width="35.85546875" style="20" customWidth="1"/>
    <col min="4099" max="4099" width="19.28515625" style="20" customWidth="1"/>
    <col min="4100" max="4102" width="14.7109375" style="20" customWidth="1"/>
    <col min="4103" max="4103" width="2.28515625" style="20" customWidth="1"/>
    <col min="4104" max="4104" width="3.28515625" style="20" customWidth="1"/>
    <col min="4105" max="4106" width="0" style="20" hidden="1" customWidth="1"/>
    <col min="4107" max="4108" width="9.140625" style="20" customWidth="1"/>
    <col min="4109" max="4109" width="18.7109375" style="20" customWidth="1"/>
    <col min="4110" max="4141" width="0" style="20" hidden="1" customWidth="1"/>
    <col min="4142" max="4142" width="9.140625" style="20" customWidth="1"/>
    <col min="4143" max="4143" width="13.28515625" style="20" customWidth="1"/>
    <col min="4144" max="4167" width="9.140625" style="20" customWidth="1"/>
    <col min="4168" max="4168" width="22.7109375" style="20" customWidth="1"/>
    <col min="4169" max="4169" width="29" style="20" customWidth="1"/>
    <col min="4170" max="4170" width="9.5703125" style="20" customWidth="1"/>
    <col min="4171" max="4171" width="11.5703125" style="20" customWidth="1"/>
    <col min="4172" max="4172" width="10.7109375" style="20" customWidth="1"/>
    <col min="4173" max="4173" width="9.140625" style="20" customWidth="1"/>
    <col min="4174" max="4177" width="2.42578125" style="20" customWidth="1"/>
    <col min="4178" max="4178" width="4.85546875" style="20" customWidth="1"/>
    <col min="4179" max="4179" width="29.42578125" style="20" customWidth="1"/>
    <col min="4180" max="4180" width="17" style="20" customWidth="1"/>
    <col min="4181" max="4181" width="14.42578125" style="20" customWidth="1"/>
    <col min="4182" max="4182" width="17" style="20" customWidth="1"/>
    <col min="4183" max="4183" width="8.85546875" style="20" customWidth="1"/>
    <col min="4184" max="4193" width="2.42578125" style="20" customWidth="1"/>
    <col min="4194" max="4352" width="17.28515625" style="20"/>
    <col min="4353" max="4353" width="2.28515625" style="20" customWidth="1"/>
    <col min="4354" max="4354" width="35.85546875" style="20" customWidth="1"/>
    <col min="4355" max="4355" width="19.28515625" style="20" customWidth="1"/>
    <col min="4356" max="4358" width="14.7109375" style="20" customWidth="1"/>
    <col min="4359" max="4359" width="2.28515625" style="20" customWidth="1"/>
    <col min="4360" max="4360" width="3.28515625" style="20" customWidth="1"/>
    <col min="4361" max="4362" width="0" style="20" hidden="1" customWidth="1"/>
    <col min="4363" max="4364" width="9.140625" style="20" customWidth="1"/>
    <col min="4365" max="4365" width="18.7109375" style="20" customWidth="1"/>
    <col min="4366" max="4397" width="0" style="20" hidden="1" customWidth="1"/>
    <col min="4398" max="4398" width="9.140625" style="20" customWidth="1"/>
    <col min="4399" max="4399" width="13.28515625" style="20" customWidth="1"/>
    <col min="4400" max="4423" width="9.140625" style="20" customWidth="1"/>
    <col min="4424" max="4424" width="22.7109375" style="20" customWidth="1"/>
    <col min="4425" max="4425" width="29" style="20" customWidth="1"/>
    <col min="4426" max="4426" width="9.5703125" style="20" customWidth="1"/>
    <col min="4427" max="4427" width="11.5703125" style="20" customWidth="1"/>
    <col min="4428" max="4428" width="10.7109375" style="20" customWidth="1"/>
    <col min="4429" max="4429" width="9.140625" style="20" customWidth="1"/>
    <col min="4430" max="4433" width="2.42578125" style="20" customWidth="1"/>
    <col min="4434" max="4434" width="4.85546875" style="20" customWidth="1"/>
    <col min="4435" max="4435" width="29.42578125" style="20" customWidth="1"/>
    <col min="4436" max="4436" width="17" style="20" customWidth="1"/>
    <col min="4437" max="4437" width="14.42578125" style="20" customWidth="1"/>
    <col min="4438" max="4438" width="17" style="20" customWidth="1"/>
    <col min="4439" max="4439" width="8.85546875" style="20" customWidth="1"/>
    <col min="4440" max="4449" width="2.42578125" style="20" customWidth="1"/>
    <col min="4450" max="4608" width="17.28515625" style="20"/>
    <col min="4609" max="4609" width="2.28515625" style="20" customWidth="1"/>
    <col min="4610" max="4610" width="35.85546875" style="20" customWidth="1"/>
    <col min="4611" max="4611" width="19.28515625" style="20" customWidth="1"/>
    <col min="4612" max="4614" width="14.7109375" style="20" customWidth="1"/>
    <col min="4615" max="4615" width="2.28515625" style="20" customWidth="1"/>
    <col min="4616" max="4616" width="3.28515625" style="20" customWidth="1"/>
    <col min="4617" max="4618" width="0" style="20" hidden="1" customWidth="1"/>
    <col min="4619" max="4620" width="9.140625" style="20" customWidth="1"/>
    <col min="4621" max="4621" width="18.7109375" style="20" customWidth="1"/>
    <col min="4622" max="4653" width="0" style="20" hidden="1" customWidth="1"/>
    <col min="4654" max="4654" width="9.140625" style="20" customWidth="1"/>
    <col min="4655" max="4655" width="13.28515625" style="20" customWidth="1"/>
    <col min="4656" max="4679" width="9.140625" style="20" customWidth="1"/>
    <col min="4680" max="4680" width="22.7109375" style="20" customWidth="1"/>
    <col min="4681" max="4681" width="29" style="20" customWidth="1"/>
    <col min="4682" max="4682" width="9.5703125" style="20" customWidth="1"/>
    <col min="4683" max="4683" width="11.5703125" style="20" customWidth="1"/>
    <col min="4684" max="4684" width="10.7109375" style="20" customWidth="1"/>
    <col min="4685" max="4685" width="9.140625" style="20" customWidth="1"/>
    <col min="4686" max="4689" width="2.42578125" style="20" customWidth="1"/>
    <col min="4690" max="4690" width="4.85546875" style="20" customWidth="1"/>
    <col min="4691" max="4691" width="29.42578125" style="20" customWidth="1"/>
    <col min="4692" max="4692" width="17" style="20" customWidth="1"/>
    <col min="4693" max="4693" width="14.42578125" style="20" customWidth="1"/>
    <col min="4694" max="4694" width="17" style="20" customWidth="1"/>
    <col min="4695" max="4695" width="8.85546875" style="20" customWidth="1"/>
    <col min="4696" max="4705" width="2.42578125" style="20" customWidth="1"/>
    <col min="4706" max="4864" width="17.28515625" style="20"/>
    <col min="4865" max="4865" width="2.28515625" style="20" customWidth="1"/>
    <col min="4866" max="4866" width="35.85546875" style="20" customWidth="1"/>
    <col min="4867" max="4867" width="19.28515625" style="20" customWidth="1"/>
    <col min="4868" max="4870" width="14.7109375" style="20" customWidth="1"/>
    <col min="4871" max="4871" width="2.28515625" style="20" customWidth="1"/>
    <col min="4872" max="4872" width="3.28515625" style="20" customWidth="1"/>
    <col min="4873" max="4874" width="0" style="20" hidden="1" customWidth="1"/>
    <col min="4875" max="4876" width="9.140625" style="20" customWidth="1"/>
    <col min="4877" max="4877" width="18.7109375" style="20" customWidth="1"/>
    <col min="4878" max="4909" width="0" style="20" hidden="1" customWidth="1"/>
    <col min="4910" max="4910" width="9.140625" style="20" customWidth="1"/>
    <col min="4911" max="4911" width="13.28515625" style="20" customWidth="1"/>
    <col min="4912" max="4935" width="9.140625" style="20" customWidth="1"/>
    <col min="4936" max="4936" width="22.7109375" style="20" customWidth="1"/>
    <col min="4937" max="4937" width="29" style="20" customWidth="1"/>
    <col min="4938" max="4938" width="9.5703125" style="20" customWidth="1"/>
    <col min="4939" max="4939" width="11.5703125" style="20" customWidth="1"/>
    <col min="4940" max="4940" width="10.7109375" style="20" customWidth="1"/>
    <col min="4941" max="4941" width="9.140625" style="20" customWidth="1"/>
    <col min="4942" max="4945" width="2.42578125" style="20" customWidth="1"/>
    <col min="4946" max="4946" width="4.85546875" style="20" customWidth="1"/>
    <col min="4947" max="4947" width="29.42578125" style="20" customWidth="1"/>
    <col min="4948" max="4948" width="17" style="20" customWidth="1"/>
    <col min="4949" max="4949" width="14.42578125" style="20" customWidth="1"/>
    <col min="4950" max="4950" width="17" style="20" customWidth="1"/>
    <col min="4951" max="4951" width="8.85546875" style="20" customWidth="1"/>
    <col min="4952" max="4961" width="2.42578125" style="20" customWidth="1"/>
    <col min="4962" max="5120" width="17.28515625" style="20"/>
    <col min="5121" max="5121" width="2.28515625" style="20" customWidth="1"/>
    <col min="5122" max="5122" width="35.85546875" style="20" customWidth="1"/>
    <col min="5123" max="5123" width="19.28515625" style="20" customWidth="1"/>
    <col min="5124" max="5126" width="14.7109375" style="20" customWidth="1"/>
    <col min="5127" max="5127" width="2.28515625" style="20" customWidth="1"/>
    <col min="5128" max="5128" width="3.28515625" style="20" customWidth="1"/>
    <col min="5129" max="5130" width="0" style="20" hidden="1" customWidth="1"/>
    <col min="5131" max="5132" width="9.140625" style="20" customWidth="1"/>
    <col min="5133" max="5133" width="18.7109375" style="20" customWidth="1"/>
    <col min="5134" max="5165" width="0" style="20" hidden="1" customWidth="1"/>
    <col min="5166" max="5166" width="9.140625" style="20" customWidth="1"/>
    <col min="5167" max="5167" width="13.28515625" style="20" customWidth="1"/>
    <col min="5168" max="5191" width="9.140625" style="20" customWidth="1"/>
    <col min="5192" max="5192" width="22.7109375" style="20" customWidth="1"/>
    <col min="5193" max="5193" width="29" style="20" customWidth="1"/>
    <col min="5194" max="5194" width="9.5703125" style="20" customWidth="1"/>
    <col min="5195" max="5195" width="11.5703125" style="20" customWidth="1"/>
    <col min="5196" max="5196" width="10.7109375" style="20" customWidth="1"/>
    <col min="5197" max="5197" width="9.140625" style="20" customWidth="1"/>
    <col min="5198" max="5201" width="2.42578125" style="20" customWidth="1"/>
    <col min="5202" max="5202" width="4.85546875" style="20" customWidth="1"/>
    <col min="5203" max="5203" width="29.42578125" style="20" customWidth="1"/>
    <col min="5204" max="5204" width="17" style="20" customWidth="1"/>
    <col min="5205" max="5205" width="14.42578125" style="20" customWidth="1"/>
    <col min="5206" max="5206" width="17" style="20" customWidth="1"/>
    <col min="5207" max="5207" width="8.85546875" style="20" customWidth="1"/>
    <col min="5208" max="5217" width="2.42578125" style="20" customWidth="1"/>
    <col min="5218" max="5376" width="17.28515625" style="20"/>
    <col min="5377" max="5377" width="2.28515625" style="20" customWidth="1"/>
    <col min="5378" max="5378" width="35.85546875" style="20" customWidth="1"/>
    <col min="5379" max="5379" width="19.28515625" style="20" customWidth="1"/>
    <col min="5380" max="5382" width="14.7109375" style="20" customWidth="1"/>
    <col min="5383" max="5383" width="2.28515625" style="20" customWidth="1"/>
    <col min="5384" max="5384" width="3.28515625" style="20" customWidth="1"/>
    <col min="5385" max="5386" width="0" style="20" hidden="1" customWidth="1"/>
    <col min="5387" max="5388" width="9.140625" style="20" customWidth="1"/>
    <col min="5389" max="5389" width="18.7109375" style="20" customWidth="1"/>
    <col min="5390" max="5421" width="0" style="20" hidden="1" customWidth="1"/>
    <col min="5422" max="5422" width="9.140625" style="20" customWidth="1"/>
    <col min="5423" max="5423" width="13.28515625" style="20" customWidth="1"/>
    <col min="5424" max="5447" width="9.140625" style="20" customWidth="1"/>
    <col min="5448" max="5448" width="22.7109375" style="20" customWidth="1"/>
    <col min="5449" max="5449" width="29" style="20" customWidth="1"/>
    <col min="5450" max="5450" width="9.5703125" style="20" customWidth="1"/>
    <col min="5451" max="5451" width="11.5703125" style="20" customWidth="1"/>
    <col min="5452" max="5452" width="10.7109375" style="20" customWidth="1"/>
    <col min="5453" max="5453" width="9.140625" style="20" customWidth="1"/>
    <col min="5454" max="5457" width="2.42578125" style="20" customWidth="1"/>
    <col min="5458" max="5458" width="4.85546875" style="20" customWidth="1"/>
    <col min="5459" max="5459" width="29.42578125" style="20" customWidth="1"/>
    <col min="5460" max="5460" width="17" style="20" customWidth="1"/>
    <col min="5461" max="5461" width="14.42578125" style="20" customWidth="1"/>
    <col min="5462" max="5462" width="17" style="20" customWidth="1"/>
    <col min="5463" max="5463" width="8.85546875" style="20" customWidth="1"/>
    <col min="5464" max="5473" width="2.42578125" style="20" customWidth="1"/>
    <col min="5474" max="5632" width="17.28515625" style="20"/>
    <col min="5633" max="5633" width="2.28515625" style="20" customWidth="1"/>
    <col min="5634" max="5634" width="35.85546875" style="20" customWidth="1"/>
    <col min="5635" max="5635" width="19.28515625" style="20" customWidth="1"/>
    <col min="5636" max="5638" width="14.7109375" style="20" customWidth="1"/>
    <col min="5639" max="5639" width="2.28515625" style="20" customWidth="1"/>
    <col min="5640" max="5640" width="3.28515625" style="20" customWidth="1"/>
    <col min="5641" max="5642" width="0" style="20" hidden="1" customWidth="1"/>
    <col min="5643" max="5644" width="9.140625" style="20" customWidth="1"/>
    <col min="5645" max="5645" width="18.7109375" style="20" customWidth="1"/>
    <col min="5646" max="5677" width="0" style="20" hidden="1" customWidth="1"/>
    <col min="5678" max="5678" width="9.140625" style="20" customWidth="1"/>
    <col min="5679" max="5679" width="13.28515625" style="20" customWidth="1"/>
    <col min="5680" max="5703" width="9.140625" style="20" customWidth="1"/>
    <col min="5704" max="5704" width="22.7109375" style="20" customWidth="1"/>
    <col min="5705" max="5705" width="29" style="20" customWidth="1"/>
    <col min="5706" max="5706" width="9.5703125" style="20" customWidth="1"/>
    <col min="5707" max="5707" width="11.5703125" style="20" customWidth="1"/>
    <col min="5708" max="5708" width="10.7109375" style="20" customWidth="1"/>
    <col min="5709" max="5709" width="9.140625" style="20" customWidth="1"/>
    <col min="5710" max="5713" width="2.42578125" style="20" customWidth="1"/>
    <col min="5714" max="5714" width="4.85546875" style="20" customWidth="1"/>
    <col min="5715" max="5715" width="29.42578125" style="20" customWidth="1"/>
    <col min="5716" max="5716" width="17" style="20" customWidth="1"/>
    <col min="5717" max="5717" width="14.42578125" style="20" customWidth="1"/>
    <col min="5718" max="5718" width="17" style="20" customWidth="1"/>
    <col min="5719" max="5719" width="8.85546875" style="20" customWidth="1"/>
    <col min="5720" max="5729" width="2.42578125" style="20" customWidth="1"/>
    <col min="5730" max="5888" width="17.28515625" style="20"/>
    <col min="5889" max="5889" width="2.28515625" style="20" customWidth="1"/>
    <col min="5890" max="5890" width="35.85546875" style="20" customWidth="1"/>
    <col min="5891" max="5891" width="19.28515625" style="20" customWidth="1"/>
    <col min="5892" max="5894" width="14.7109375" style="20" customWidth="1"/>
    <col min="5895" max="5895" width="2.28515625" style="20" customWidth="1"/>
    <col min="5896" max="5896" width="3.28515625" style="20" customWidth="1"/>
    <col min="5897" max="5898" width="0" style="20" hidden="1" customWidth="1"/>
    <col min="5899" max="5900" width="9.140625" style="20" customWidth="1"/>
    <col min="5901" max="5901" width="18.7109375" style="20" customWidth="1"/>
    <col min="5902" max="5933" width="0" style="20" hidden="1" customWidth="1"/>
    <col min="5934" max="5934" width="9.140625" style="20" customWidth="1"/>
    <col min="5935" max="5935" width="13.28515625" style="20" customWidth="1"/>
    <col min="5936" max="5959" width="9.140625" style="20" customWidth="1"/>
    <col min="5960" max="5960" width="22.7109375" style="20" customWidth="1"/>
    <col min="5961" max="5961" width="29" style="20" customWidth="1"/>
    <col min="5962" max="5962" width="9.5703125" style="20" customWidth="1"/>
    <col min="5963" max="5963" width="11.5703125" style="20" customWidth="1"/>
    <col min="5964" max="5964" width="10.7109375" style="20" customWidth="1"/>
    <col min="5965" max="5965" width="9.140625" style="20" customWidth="1"/>
    <col min="5966" max="5969" width="2.42578125" style="20" customWidth="1"/>
    <col min="5970" max="5970" width="4.85546875" style="20" customWidth="1"/>
    <col min="5971" max="5971" width="29.42578125" style="20" customWidth="1"/>
    <col min="5972" max="5972" width="17" style="20" customWidth="1"/>
    <col min="5973" max="5973" width="14.42578125" style="20" customWidth="1"/>
    <col min="5974" max="5974" width="17" style="20" customWidth="1"/>
    <col min="5975" max="5975" width="8.85546875" style="20" customWidth="1"/>
    <col min="5976" max="5985" width="2.42578125" style="20" customWidth="1"/>
    <col min="5986" max="6144" width="17.28515625" style="20"/>
    <col min="6145" max="6145" width="2.28515625" style="20" customWidth="1"/>
    <col min="6146" max="6146" width="35.85546875" style="20" customWidth="1"/>
    <col min="6147" max="6147" width="19.28515625" style="20" customWidth="1"/>
    <col min="6148" max="6150" width="14.7109375" style="20" customWidth="1"/>
    <col min="6151" max="6151" width="2.28515625" style="20" customWidth="1"/>
    <col min="6152" max="6152" width="3.28515625" style="20" customWidth="1"/>
    <col min="6153" max="6154" width="0" style="20" hidden="1" customWidth="1"/>
    <col min="6155" max="6156" width="9.140625" style="20" customWidth="1"/>
    <col min="6157" max="6157" width="18.7109375" style="20" customWidth="1"/>
    <col min="6158" max="6189" width="0" style="20" hidden="1" customWidth="1"/>
    <col min="6190" max="6190" width="9.140625" style="20" customWidth="1"/>
    <col min="6191" max="6191" width="13.28515625" style="20" customWidth="1"/>
    <col min="6192" max="6215" width="9.140625" style="20" customWidth="1"/>
    <col min="6216" max="6216" width="22.7109375" style="20" customWidth="1"/>
    <col min="6217" max="6217" width="29" style="20" customWidth="1"/>
    <col min="6218" max="6218" width="9.5703125" style="20" customWidth="1"/>
    <col min="6219" max="6219" width="11.5703125" style="20" customWidth="1"/>
    <col min="6220" max="6220" width="10.7109375" style="20" customWidth="1"/>
    <col min="6221" max="6221" width="9.140625" style="20" customWidth="1"/>
    <col min="6222" max="6225" width="2.42578125" style="20" customWidth="1"/>
    <col min="6226" max="6226" width="4.85546875" style="20" customWidth="1"/>
    <col min="6227" max="6227" width="29.42578125" style="20" customWidth="1"/>
    <col min="6228" max="6228" width="17" style="20" customWidth="1"/>
    <col min="6229" max="6229" width="14.42578125" style="20" customWidth="1"/>
    <col min="6230" max="6230" width="17" style="20" customWidth="1"/>
    <col min="6231" max="6231" width="8.85546875" style="20" customWidth="1"/>
    <col min="6232" max="6241" width="2.42578125" style="20" customWidth="1"/>
    <col min="6242" max="6400" width="17.28515625" style="20"/>
    <col min="6401" max="6401" width="2.28515625" style="20" customWidth="1"/>
    <col min="6402" max="6402" width="35.85546875" style="20" customWidth="1"/>
    <col min="6403" max="6403" width="19.28515625" style="20" customWidth="1"/>
    <col min="6404" max="6406" width="14.7109375" style="20" customWidth="1"/>
    <col min="6407" max="6407" width="2.28515625" style="20" customWidth="1"/>
    <col min="6408" max="6408" width="3.28515625" style="20" customWidth="1"/>
    <col min="6409" max="6410" width="0" style="20" hidden="1" customWidth="1"/>
    <col min="6411" max="6412" width="9.140625" style="20" customWidth="1"/>
    <col min="6413" max="6413" width="18.7109375" style="20" customWidth="1"/>
    <col min="6414" max="6445" width="0" style="20" hidden="1" customWidth="1"/>
    <col min="6446" max="6446" width="9.140625" style="20" customWidth="1"/>
    <col min="6447" max="6447" width="13.28515625" style="20" customWidth="1"/>
    <col min="6448" max="6471" width="9.140625" style="20" customWidth="1"/>
    <col min="6472" max="6472" width="22.7109375" style="20" customWidth="1"/>
    <col min="6473" max="6473" width="29" style="20" customWidth="1"/>
    <col min="6474" max="6474" width="9.5703125" style="20" customWidth="1"/>
    <col min="6475" max="6475" width="11.5703125" style="20" customWidth="1"/>
    <col min="6476" max="6476" width="10.7109375" style="20" customWidth="1"/>
    <col min="6477" max="6477" width="9.140625" style="20" customWidth="1"/>
    <col min="6478" max="6481" width="2.42578125" style="20" customWidth="1"/>
    <col min="6482" max="6482" width="4.85546875" style="20" customWidth="1"/>
    <col min="6483" max="6483" width="29.42578125" style="20" customWidth="1"/>
    <col min="6484" max="6484" width="17" style="20" customWidth="1"/>
    <col min="6485" max="6485" width="14.42578125" style="20" customWidth="1"/>
    <col min="6486" max="6486" width="17" style="20" customWidth="1"/>
    <col min="6487" max="6487" width="8.85546875" style="20" customWidth="1"/>
    <col min="6488" max="6497" width="2.42578125" style="20" customWidth="1"/>
    <col min="6498" max="6656" width="17.28515625" style="20"/>
    <col min="6657" max="6657" width="2.28515625" style="20" customWidth="1"/>
    <col min="6658" max="6658" width="35.85546875" style="20" customWidth="1"/>
    <col min="6659" max="6659" width="19.28515625" style="20" customWidth="1"/>
    <col min="6660" max="6662" width="14.7109375" style="20" customWidth="1"/>
    <col min="6663" max="6663" width="2.28515625" style="20" customWidth="1"/>
    <col min="6664" max="6664" width="3.28515625" style="20" customWidth="1"/>
    <col min="6665" max="6666" width="0" style="20" hidden="1" customWidth="1"/>
    <col min="6667" max="6668" width="9.140625" style="20" customWidth="1"/>
    <col min="6669" max="6669" width="18.7109375" style="20" customWidth="1"/>
    <col min="6670" max="6701" width="0" style="20" hidden="1" customWidth="1"/>
    <col min="6702" max="6702" width="9.140625" style="20" customWidth="1"/>
    <col min="6703" max="6703" width="13.28515625" style="20" customWidth="1"/>
    <col min="6704" max="6727" width="9.140625" style="20" customWidth="1"/>
    <col min="6728" max="6728" width="22.7109375" style="20" customWidth="1"/>
    <col min="6729" max="6729" width="29" style="20" customWidth="1"/>
    <col min="6730" max="6730" width="9.5703125" style="20" customWidth="1"/>
    <col min="6731" max="6731" width="11.5703125" style="20" customWidth="1"/>
    <col min="6732" max="6732" width="10.7109375" style="20" customWidth="1"/>
    <col min="6733" max="6733" width="9.140625" style="20" customWidth="1"/>
    <col min="6734" max="6737" width="2.42578125" style="20" customWidth="1"/>
    <col min="6738" max="6738" width="4.85546875" style="20" customWidth="1"/>
    <col min="6739" max="6739" width="29.42578125" style="20" customWidth="1"/>
    <col min="6740" max="6740" width="17" style="20" customWidth="1"/>
    <col min="6741" max="6741" width="14.42578125" style="20" customWidth="1"/>
    <col min="6742" max="6742" width="17" style="20" customWidth="1"/>
    <col min="6743" max="6743" width="8.85546875" style="20" customWidth="1"/>
    <col min="6744" max="6753" width="2.42578125" style="20" customWidth="1"/>
    <col min="6754" max="6912" width="17.28515625" style="20"/>
    <col min="6913" max="6913" width="2.28515625" style="20" customWidth="1"/>
    <col min="6914" max="6914" width="35.85546875" style="20" customWidth="1"/>
    <col min="6915" max="6915" width="19.28515625" style="20" customWidth="1"/>
    <col min="6916" max="6918" width="14.7109375" style="20" customWidth="1"/>
    <col min="6919" max="6919" width="2.28515625" style="20" customWidth="1"/>
    <col min="6920" max="6920" width="3.28515625" style="20" customWidth="1"/>
    <col min="6921" max="6922" width="0" style="20" hidden="1" customWidth="1"/>
    <col min="6923" max="6924" width="9.140625" style="20" customWidth="1"/>
    <col min="6925" max="6925" width="18.7109375" style="20" customWidth="1"/>
    <col min="6926" max="6957" width="0" style="20" hidden="1" customWidth="1"/>
    <col min="6958" max="6958" width="9.140625" style="20" customWidth="1"/>
    <col min="6959" max="6959" width="13.28515625" style="20" customWidth="1"/>
    <col min="6960" max="6983" width="9.140625" style="20" customWidth="1"/>
    <col min="6984" max="6984" width="22.7109375" style="20" customWidth="1"/>
    <col min="6985" max="6985" width="29" style="20" customWidth="1"/>
    <col min="6986" max="6986" width="9.5703125" style="20" customWidth="1"/>
    <col min="6987" max="6987" width="11.5703125" style="20" customWidth="1"/>
    <col min="6988" max="6988" width="10.7109375" style="20" customWidth="1"/>
    <col min="6989" max="6989" width="9.140625" style="20" customWidth="1"/>
    <col min="6990" max="6993" width="2.42578125" style="20" customWidth="1"/>
    <col min="6994" max="6994" width="4.85546875" style="20" customWidth="1"/>
    <col min="6995" max="6995" width="29.42578125" style="20" customWidth="1"/>
    <col min="6996" max="6996" width="17" style="20" customWidth="1"/>
    <col min="6997" max="6997" width="14.42578125" style="20" customWidth="1"/>
    <col min="6998" max="6998" width="17" style="20" customWidth="1"/>
    <col min="6999" max="6999" width="8.85546875" style="20" customWidth="1"/>
    <col min="7000" max="7009" width="2.42578125" style="20" customWidth="1"/>
    <col min="7010" max="7168" width="17.28515625" style="20"/>
    <col min="7169" max="7169" width="2.28515625" style="20" customWidth="1"/>
    <col min="7170" max="7170" width="35.85546875" style="20" customWidth="1"/>
    <col min="7171" max="7171" width="19.28515625" style="20" customWidth="1"/>
    <col min="7172" max="7174" width="14.7109375" style="20" customWidth="1"/>
    <col min="7175" max="7175" width="2.28515625" style="20" customWidth="1"/>
    <col min="7176" max="7176" width="3.28515625" style="20" customWidth="1"/>
    <col min="7177" max="7178" width="0" style="20" hidden="1" customWidth="1"/>
    <col min="7179" max="7180" width="9.140625" style="20" customWidth="1"/>
    <col min="7181" max="7181" width="18.7109375" style="20" customWidth="1"/>
    <col min="7182" max="7213" width="0" style="20" hidden="1" customWidth="1"/>
    <col min="7214" max="7214" width="9.140625" style="20" customWidth="1"/>
    <col min="7215" max="7215" width="13.28515625" style="20" customWidth="1"/>
    <col min="7216" max="7239" width="9.140625" style="20" customWidth="1"/>
    <col min="7240" max="7240" width="22.7109375" style="20" customWidth="1"/>
    <col min="7241" max="7241" width="29" style="20" customWidth="1"/>
    <col min="7242" max="7242" width="9.5703125" style="20" customWidth="1"/>
    <col min="7243" max="7243" width="11.5703125" style="20" customWidth="1"/>
    <col min="7244" max="7244" width="10.7109375" style="20" customWidth="1"/>
    <col min="7245" max="7245" width="9.140625" style="20" customWidth="1"/>
    <col min="7246" max="7249" width="2.42578125" style="20" customWidth="1"/>
    <col min="7250" max="7250" width="4.85546875" style="20" customWidth="1"/>
    <col min="7251" max="7251" width="29.42578125" style="20" customWidth="1"/>
    <col min="7252" max="7252" width="17" style="20" customWidth="1"/>
    <col min="7253" max="7253" width="14.42578125" style="20" customWidth="1"/>
    <col min="7254" max="7254" width="17" style="20" customWidth="1"/>
    <col min="7255" max="7255" width="8.85546875" style="20" customWidth="1"/>
    <col min="7256" max="7265" width="2.42578125" style="20" customWidth="1"/>
    <col min="7266" max="7424" width="17.28515625" style="20"/>
    <col min="7425" max="7425" width="2.28515625" style="20" customWidth="1"/>
    <col min="7426" max="7426" width="35.85546875" style="20" customWidth="1"/>
    <col min="7427" max="7427" width="19.28515625" style="20" customWidth="1"/>
    <col min="7428" max="7430" width="14.7109375" style="20" customWidth="1"/>
    <col min="7431" max="7431" width="2.28515625" style="20" customWidth="1"/>
    <col min="7432" max="7432" width="3.28515625" style="20" customWidth="1"/>
    <col min="7433" max="7434" width="0" style="20" hidden="1" customWidth="1"/>
    <col min="7435" max="7436" width="9.140625" style="20" customWidth="1"/>
    <col min="7437" max="7437" width="18.7109375" style="20" customWidth="1"/>
    <col min="7438" max="7469" width="0" style="20" hidden="1" customWidth="1"/>
    <col min="7470" max="7470" width="9.140625" style="20" customWidth="1"/>
    <col min="7471" max="7471" width="13.28515625" style="20" customWidth="1"/>
    <col min="7472" max="7495" width="9.140625" style="20" customWidth="1"/>
    <col min="7496" max="7496" width="22.7109375" style="20" customWidth="1"/>
    <col min="7497" max="7497" width="29" style="20" customWidth="1"/>
    <col min="7498" max="7498" width="9.5703125" style="20" customWidth="1"/>
    <col min="7499" max="7499" width="11.5703125" style="20" customWidth="1"/>
    <col min="7500" max="7500" width="10.7109375" style="20" customWidth="1"/>
    <col min="7501" max="7501" width="9.140625" style="20" customWidth="1"/>
    <col min="7502" max="7505" width="2.42578125" style="20" customWidth="1"/>
    <col min="7506" max="7506" width="4.85546875" style="20" customWidth="1"/>
    <col min="7507" max="7507" width="29.42578125" style="20" customWidth="1"/>
    <col min="7508" max="7508" width="17" style="20" customWidth="1"/>
    <col min="7509" max="7509" width="14.42578125" style="20" customWidth="1"/>
    <col min="7510" max="7510" width="17" style="20" customWidth="1"/>
    <col min="7511" max="7511" width="8.85546875" style="20" customWidth="1"/>
    <col min="7512" max="7521" width="2.42578125" style="20" customWidth="1"/>
    <col min="7522" max="7680" width="17.28515625" style="20"/>
    <col min="7681" max="7681" width="2.28515625" style="20" customWidth="1"/>
    <col min="7682" max="7682" width="35.85546875" style="20" customWidth="1"/>
    <col min="7683" max="7683" width="19.28515625" style="20" customWidth="1"/>
    <col min="7684" max="7686" width="14.7109375" style="20" customWidth="1"/>
    <col min="7687" max="7687" width="2.28515625" style="20" customWidth="1"/>
    <col min="7688" max="7688" width="3.28515625" style="20" customWidth="1"/>
    <col min="7689" max="7690" width="0" style="20" hidden="1" customWidth="1"/>
    <col min="7691" max="7692" width="9.140625" style="20" customWidth="1"/>
    <col min="7693" max="7693" width="18.7109375" style="20" customWidth="1"/>
    <col min="7694" max="7725" width="0" style="20" hidden="1" customWidth="1"/>
    <col min="7726" max="7726" width="9.140625" style="20" customWidth="1"/>
    <col min="7727" max="7727" width="13.28515625" style="20" customWidth="1"/>
    <col min="7728" max="7751" width="9.140625" style="20" customWidth="1"/>
    <col min="7752" max="7752" width="22.7109375" style="20" customWidth="1"/>
    <col min="7753" max="7753" width="29" style="20" customWidth="1"/>
    <col min="7754" max="7754" width="9.5703125" style="20" customWidth="1"/>
    <col min="7755" max="7755" width="11.5703125" style="20" customWidth="1"/>
    <col min="7756" max="7756" width="10.7109375" style="20" customWidth="1"/>
    <col min="7757" max="7757" width="9.140625" style="20" customWidth="1"/>
    <col min="7758" max="7761" width="2.42578125" style="20" customWidth="1"/>
    <col min="7762" max="7762" width="4.85546875" style="20" customWidth="1"/>
    <col min="7763" max="7763" width="29.42578125" style="20" customWidth="1"/>
    <col min="7764" max="7764" width="17" style="20" customWidth="1"/>
    <col min="7765" max="7765" width="14.42578125" style="20" customWidth="1"/>
    <col min="7766" max="7766" width="17" style="20" customWidth="1"/>
    <col min="7767" max="7767" width="8.85546875" style="20" customWidth="1"/>
    <col min="7768" max="7777" width="2.42578125" style="20" customWidth="1"/>
    <col min="7778" max="7936" width="17.28515625" style="20"/>
    <col min="7937" max="7937" width="2.28515625" style="20" customWidth="1"/>
    <col min="7938" max="7938" width="35.85546875" style="20" customWidth="1"/>
    <col min="7939" max="7939" width="19.28515625" style="20" customWidth="1"/>
    <col min="7940" max="7942" width="14.7109375" style="20" customWidth="1"/>
    <col min="7943" max="7943" width="2.28515625" style="20" customWidth="1"/>
    <col min="7944" max="7944" width="3.28515625" style="20" customWidth="1"/>
    <col min="7945" max="7946" width="0" style="20" hidden="1" customWidth="1"/>
    <col min="7947" max="7948" width="9.140625" style="20" customWidth="1"/>
    <col min="7949" max="7949" width="18.7109375" style="20" customWidth="1"/>
    <col min="7950" max="7981" width="0" style="20" hidden="1" customWidth="1"/>
    <col min="7982" max="7982" width="9.140625" style="20" customWidth="1"/>
    <col min="7983" max="7983" width="13.28515625" style="20" customWidth="1"/>
    <col min="7984" max="8007" width="9.140625" style="20" customWidth="1"/>
    <col min="8008" max="8008" width="22.7109375" style="20" customWidth="1"/>
    <col min="8009" max="8009" width="29" style="20" customWidth="1"/>
    <col min="8010" max="8010" width="9.5703125" style="20" customWidth="1"/>
    <col min="8011" max="8011" width="11.5703125" style="20" customWidth="1"/>
    <col min="8012" max="8012" width="10.7109375" style="20" customWidth="1"/>
    <col min="8013" max="8013" width="9.140625" style="20" customWidth="1"/>
    <col min="8014" max="8017" width="2.42578125" style="20" customWidth="1"/>
    <col min="8018" max="8018" width="4.85546875" style="20" customWidth="1"/>
    <col min="8019" max="8019" width="29.42578125" style="20" customWidth="1"/>
    <col min="8020" max="8020" width="17" style="20" customWidth="1"/>
    <col min="8021" max="8021" width="14.42578125" style="20" customWidth="1"/>
    <col min="8022" max="8022" width="17" style="20" customWidth="1"/>
    <col min="8023" max="8023" width="8.85546875" style="20" customWidth="1"/>
    <col min="8024" max="8033" width="2.42578125" style="20" customWidth="1"/>
    <col min="8034" max="8192" width="17.28515625" style="20"/>
    <col min="8193" max="8193" width="2.28515625" style="20" customWidth="1"/>
    <col min="8194" max="8194" width="35.85546875" style="20" customWidth="1"/>
    <col min="8195" max="8195" width="19.28515625" style="20" customWidth="1"/>
    <col min="8196" max="8198" width="14.7109375" style="20" customWidth="1"/>
    <col min="8199" max="8199" width="2.28515625" style="20" customWidth="1"/>
    <col min="8200" max="8200" width="3.28515625" style="20" customWidth="1"/>
    <col min="8201" max="8202" width="0" style="20" hidden="1" customWidth="1"/>
    <col min="8203" max="8204" width="9.140625" style="20" customWidth="1"/>
    <col min="8205" max="8205" width="18.7109375" style="20" customWidth="1"/>
    <col min="8206" max="8237" width="0" style="20" hidden="1" customWidth="1"/>
    <col min="8238" max="8238" width="9.140625" style="20" customWidth="1"/>
    <col min="8239" max="8239" width="13.28515625" style="20" customWidth="1"/>
    <col min="8240" max="8263" width="9.140625" style="20" customWidth="1"/>
    <col min="8264" max="8264" width="22.7109375" style="20" customWidth="1"/>
    <col min="8265" max="8265" width="29" style="20" customWidth="1"/>
    <col min="8266" max="8266" width="9.5703125" style="20" customWidth="1"/>
    <col min="8267" max="8267" width="11.5703125" style="20" customWidth="1"/>
    <col min="8268" max="8268" width="10.7109375" style="20" customWidth="1"/>
    <col min="8269" max="8269" width="9.140625" style="20" customWidth="1"/>
    <col min="8270" max="8273" width="2.42578125" style="20" customWidth="1"/>
    <col min="8274" max="8274" width="4.85546875" style="20" customWidth="1"/>
    <col min="8275" max="8275" width="29.42578125" style="20" customWidth="1"/>
    <col min="8276" max="8276" width="17" style="20" customWidth="1"/>
    <col min="8277" max="8277" width="14.42578125" style="20" customWidth="1"/>
    <col min="8278" max="8278" width="17" style="20" customWidth="1"/>
    <col min="8279" max="8279" width="8.85546875" style="20" customWidth="1"/>
    <col min="8280" max="8289" width="2.42578125" style="20" customWidth="1"/>
    <col min="8290" max="8448" width="17.28515625" style="20"/>
    <col min="8449" max="8449" width="2.28515625" style="20" customWidth="1"/>
    <col min="8450" max="8450" width="35.85546875" style="20" customWidth="1"/>
    <col min="8451" max="8451" width="19.28515625" style="20" customWidth="1"/>
    <col min="8452" max="8454" width="14.7109375" style="20" customWidth="1"/>
    <col min="8455" max="8455" width="2.28515625" style="20" customWidth="1"/>
    <col min="8456" max="8456" width="3.28515625" style="20" customWidth="1"/>
    <col min="8457" max="8458" width="0" style="20" hidden="1" customWidth="1"/>
    <col min="8459" max="8460" width="9.140625" style="20" customWidth="1"/>
    <col min="8461" max="8461" width="18.7109375" style="20" customWidth="1"/>
    <col min="8462" max="8493" width="0" style="20" hidden="1" customWidth="1"/>
    <col min="8494" max="8494" width="9.140625" style="20" customWidth="1"/>
    <col min="8495" max="8495" width="13.28515625" style="20" customWidth="1"/>
    <col min="8496" max="8519" width="9.140625" style="20" customWidth="1"/>
    <col min="8520" max="8520" width="22.7109375" style="20" customWidth="1"/>
    <col min="8521" max="8521" width="29" style="20" customWidth="1"/>
    <col min="8522" max="8522" width="9.5703125" style="20" customWidth="1"/>
    <col min="8523" max="8523" width="11.5703125" style="20" customWidth="1"/>
    <col min="8524" max="8524" width="10.7109375" style="20" customWidth="1"/>
    <col min="8525" max="8525" width="9.140625" style="20" customWidth="1"/>
    <col min="8526" max="8529" width="2.42578125" style="20" customWidth="1"/>
    <col min="8530" max="8530" width="4.85546875" style="20" customWidth="1"/>
    <col min="8531" max="8531" width="29.42578125" style="20" customWidth="1"/>
    <col min="8532" max="8532" width="17" style="20" customWidth="1"/>
    <col min="8533" max="8533" width="14.42578125" style="20" customWidth="1"/>
    <col min="8534" max="8534" width="17" style="20" customWidth="1"/>
    <col min="8535" max="8535" width="8.85546875" style="20" customWidth="1"/>
    <col min="8536" max="8545" width="2.42578125" style="20" customWidth="1"/>
    <col min="8546" max="8704" width="17.28515625" style="20"/>
    <col min="8705" max="8705" width="2.28515625" style="20" customWidth="1"/>
    <col min="8706" max="8706" width="35.85546875" style="20" customWidth="1"/>
    <col min="8707" max="8707" width="19.28515625" style="20" customWidth="1"/>
    <col min="8708" max="8710" width="14.7109375" style="20" customWidth="1"/>
    <col min="8711" max="8711" width="2.28515625" style="20" customWidth="1"/>
    <col min="8712" max="8712" width="3.28515625" style="20" customWidth="1"/>
    <col min="8713" max="8714" width="0" style="20" hidden="1" customWidth="1"/>
    <col min="8715" max="8716" width="9.140625" style="20" customWidth="1"/>
    <col min="8717" max="8717" width="18.7109375" style="20" customWidth="1"/>
    <col min="8718" max="8749" width="0" style="20" hidden="1" customWidth="1"/>
    <col min="8750" max="8750" width="9.140625" style="20" customWidth="1"/>
    <col min="8751" max="8751" width="13.28515625" style="20" customWidth="1"/>
    <col min="8752" max="8775" width="9.140625" style="20" customWidth="1"/>
    <col min="8776" max="8776" width="22.7109375" style="20" customWidth="1"/>
    <col min="8777" max="8777" width="29" style="20" customWidth="1"/>
    <col min="8778" max="8778" width="9.5703125" style="20" customWidth="1"/>
    <col min="8779" max="8779" width="11.5703125" style="20" customWidth="1"/>
    <col min="8780" max="8780" width="10.7109375" style="20" customWidth="1"/>
    <col min="8781" max="8781" width="9.140625" style="20" customWidth="1"/>
    <col min="8782" max="8785" width="2.42578125" style="20" customWidth="1"/>
    <col min="8786" max="8786" width="4.85546875" style="20" customWidth="1"/>
    <col min="8787" max="8787" width="29.42578125" style="20" customWidth="1"/>
    <col min="8788" max="8788" width="17" style="20" customWidth="1"/>
    <col min="8789" max="8789" width="14.42578125" style="20" customWidth="1"/>
    <col min="8790" max="8790" width="17" style="20" customWidth="1"/>
    <col min="8791" max="8791" width="8.85546875" style="20" customWidth="1"/>
    <col min="8792" max="8801" width="2.42578125" style="20" customWidth="1"/>
    <col min="8802" max="8960" width="17.28515625" style="20"/>
    <col min="8961" max="8961" width="2.28515625" style="20" customWidth="1"/>
    <col min="8962" max="8962" width="35.85546875" style="20" customWidth="1"/>
    <col min="8963" max="8963" width="19.28515625" style="20" customWidth="1"/>
    <col min="8964" max="8966" width="14.7109375" style="20" customWidth="1"/>
    <col min="8967" max="8967" width="2.28515625" style="20" customWidth="1"/>
    <col min="8968" max="8968" width="3.28515625" style="20" customWidth="1"/>
    <col min="8969" max="8970" width="0" style="20" hidden="1" customWidth="1"/>
    <col min="8971" max="8972" width="9.140625" style="20" customWidth="1"/>
    <col min="8973" max="8973" width="18.7109375" style="20" customWidth="1"/>
    <col min="8974" max="9005" width="0" style="20" hidden="1" customWidth="1"/>
    <col min="9006" max="9006" width="9.140625" style="20" customWidth="1"/>
    <col min="9007" max="9007" width="13.28515625" style="20" customWidth="1"/>
    <col min="9008" max="9031" width="9.140625" style="20" customWidth="1"/>
    <col min="9032" max="9032" width="22.7109375" style="20" customWidth="1"/>
    <col min="9033" max="9033" width="29" style="20" customWidth="1"/>
    <col min="9034" max="9034" width="9.5703125" style="20" customWidth="1"/>
    <col min="9035" max="9035" width="11.5703125" style="20" customWidth="1"/>
    <col min="9036" max="9036" width="10.7109375" style="20" customWidth="1"/>
    <col min="9037" max="9037" width="9.140625" style="20" customWidth="1"/>
    <col min="9038" max="9041" width="2.42578125" style="20" customWidth="1"/>
    <col min="9042" max="9042" width="4.85546875" style="20" customWidth="1"/>
    <col min="9043" max="9043" width="29.42578125" style="20" customWidth="1"/>
    <col min="9044" max="9044" width="17" style="20" customWidth="1"/>
    <col min="9045" max="9045" width="14.42578125" style="20" customWidth="1"/>
    <col min="9046" max="9046" width="17" style="20" customWidth="1"/>
    <col min="9047" max="9047" width="8.85546875" style="20" customWidth="1"/>
    <col min="9048" max="9057" width="2.42578125" style="20" customWidth="1"/>
    <col min="9058" max="9216" width="17.28515625" style="20"/>
    <col min="9217" max="9217" width="2.28515625" style="20" customWidth="1"/>
    <col min="9218" max="9218" width="35.85546875" style="20" customWidth="1"/>
    <col min="9219" max="9219" width="19.28515625" style="20" customWidth="1"/>
    <col min="9220" max="9222" width="14.7109375" style="20" customWidth="1"/>
    <col min="9223" max="9223" width="2.28515625" style="20" customWidth="1"/>
    <col min="9224" max="9224" width="3.28515625" style="20" customWidth="1"/>
    <col min="9225" max="9226" width="0" style="20" hidden="1" customWidth="1"/>
    <col min="9227" max="9228" width="9.140625" style="20" customWidth="1"/>
    <col min="9229" max="9229" width="18.7109375" style="20" customWidth="1"/>
    <col min="9230" max="9261" width="0" style="20" hidden="1" customWidth="1"/>
    <col min="9262" max="9262" width="9.140625" style="20" customWidth="1"/>
    <col min="9263" max="9263" width="13.28515625" style="20" customWidth="1"/>
    <col min="9264" max="9287" width="9.140625" style="20" customWidth="1"/>
    <col min="9288" max="9288" width="22.7109375" style="20" customWidth="1"/>
    <col min="9289" max="9289" width="29" style="20" customWidth="1"/>
    <col min="9290" max="9290" width="9.5703125" style="20" customWidth="1"/>
    <col min="9291" max="9291" width="11.5703125" style="20" customWidth="1"/>
    <col min="9292" max="9292" width="10.7109375" style="20" customWidth="1"/>
    <col min="9293" max="9293" width="9.140625" style="20" customWidth="1"/>
    <col min="9294" max="9297" width="2.42578125" style="20" customWidth="1"/>
    <col min="9298" max="9298" width="4.85546875" style="20" customWidth="1"/>
    <col min="9299" max="9299" width="29.42578125" style="20" customWidth="1"/>
    <col min="9300" max="9300" width="17" style="20" customWidth="1"/>
    <col min="9301" max="9301" width="14.42578125" style="20" customWidth="1"/>
    <col min="9302" max="9302" width="17" style="20" customWidth="1"/>
    <col min="9303" max="9303" width="8.85546875" style="20" customWidth="1"/>
    <col min="9304" max="9313" width="2.42578125" style="20" customWidth="1"/>
    <col min="9314" max="9472" width="17.28515625" style="20"/>
    <col min="9473" max="9473" width="2.28515625" style="20" customWidth="1"/>
    <col min="9474" max="9474" width="35.85546875" style="20" customWidth="1"/>
    <col min="9475" max="9475" width="19.28515625" style="20" customWidth="1"/>
    <col min="9476" max="9478" width="14.7109375" style="20" customWidth="1"/>
    <col min="9479" max="9479" width="2.28515625" style="20" customWidth="1"/>
    <col min="9480" max="9480" width="3.28515625" style="20" customWidth="1"/>
    <col min="9481" max="9482" width="0" style="20" hidden="1" customWidth="1"/>
    <col min="9483" max="9484" width="9.140625" style="20" customWidth="1"/>
    <col min="9485" max="9485" width="18.7109375" style="20" customWidth="1"/>
    <col min="9486" max="9517" width="0" style="20" hidden="1" customWidth="1"/>
    <col min="9518" max="9518" width="9.140625" style="20" customWidth="1"/>
    <col min="9519" max="9519" width="13.28515625" style="20" customWidth="1"/>
    <col min="9520" max="9543" width="9.140625" style="20" customWidth="1"/>
    <col min="9544" max="9544" width="22.7109375" style="20" customWidth="1"/>
    <col min="9545" max="9545" width="29" style="20" customWidth="1"/>
    <col min="9546" max="9546" width="9.5703125" style="20" customWidth="1"/>
    <col min="9547" max="9547" width="11.5703125" style="20" customWidth="1"/>
    <col min="9548" max="9548" width="10.7109375" style="20" customWidth="1"/>
    <col min="9549" max="9549" width="9.140625" style="20" customWidth="1"/>
    <col min="9550" max="9553" width="2.42578125" style="20" customWidth="1"/>
    <col min="9554" max="9554" width="4.85546875" style="20" customWidth="1"/>
    <col min="9555" max="9555" width="29.42578125" style="20" customWidth="1"/>
    <col min="9556" max="9556" width="17" style="20" customWidth="1"/>
    <col min="9557" max="9557" width="14.42578125" style="20" customWidth="1"/>
    <col min="9558" max="9558" width="17" style="20" customWidth="1"/>
    <col min="9559" max="9559" width="8.85546875" style="20" customWidth="1"/>
    <col min="9560" max="9569" width="2.42578125" style="20" customWidth="1"/>
    <col min="9570" max="9728" width="17.28515625" style="20"/>
    <col min="9729" max="9729" width="2.28515625" style="20" customWidth="1"/>
    <col min="9730" max="9730" width="35.85546875" style="20" customWidth="1"/>
    <col min="9731" max="9731" width="19.28515625" style="20" customWidth="1"/>
    <col min="9732" max="9734" width="14.7109375" style="20" customWidth="1"/>
    <col min="9735" max="9735" width="2.28515625" style="20" customWidth="1"/>
    <col min="9736" max="9736" width="3.28515625" style="20" customWidth="1"/>
    <col min="9737" max="9738" width="0" style="20" hidden="1" customWidth="1"/>
    <col min="9739" max="9740" width="9.140625" style="20" customWidth="1"/>
    <col min="9741" max="9741" width="18.7109375" style="20" customWidth="1"/>
    <col min="9742" max="9773" width="0" style="20" hidden="1" customWidth="1"/>
    <col min="9774" max="9774" width="9.140625" style="20" customWidth="1"/>
    <col min="9775" max="9775" width="13.28515625" style="20" customWidth="1"/>
    <col min="9776" max="9799" width="9.140625" style="20" customWidth="1"/>
    <col min="9800" max="9800" width="22.7109375" style="20" customWidth="1"/>
    <col min="9801" max="9801" width="29" style="20" customWidth="1"/>
    <col min="9802" max="9802" width="9.5703125" style="20" customWidth="1"/>
    <col min="9803" max="9803" width="11.5703125" style="20" customWidth="1"/>
    <col min="9804" max="9804" width="10.7109375" style="20" customWidth="1"/>
    <col min="9805" max="9805" width="9.140625" style="20" customWidth="1"/>
    <col min="9806" max="9809" width="2.42578125" style="20" customWidth="1"/>
    <col min="9810" max="9810" width="4.85546875" style="20" customWidth="1"/>
    <col min="9811" max="9811" width="29.42578125" style="20" customWidth="1"/>
    <col min="9812" max="9812" width="17" style="20" customWidth="1"/>
    <col min="9813" max="9813" width="14.42578125" style="20" customWidth="1"/>
    <col min="9814" max="9814" width="17" style="20" customWidth="1"/>
    <col min="9815" max="9815" width="8.85546875" style="20" customWidth="1"/>
    <col min="9816" max="9825" width="2.42578125" style="20" customWidth="1"/>
    <col min="9826" max="9984" width="17.28515625" style="20"/>
    <col min="9985" max="9985" width="2.28515625" style="20" customWidth="1"/>
    <col min="9986" max="9986" width="35.85546875" style="20" customWidth="1"/>
    <col min="9987" max="9987" width="19.28515625" style="20" customWidth="1"/>
    <col min="9988" max="9990" width="14.7109375" style="20" customWidth="1"/>
    <col min="9991" max="9991" width="2.28515625" style="20" customWidth="1"/>
    <col min="9992" max="9992" width="3.28515625" style="20" customWidth="1"/>
    <col min="9993" max="9994" width="0" style="20" hidden="1" customWidth="1"/>
    <col min="9995" max="9996" width="9.140625" style="20" customWidth="1"/>
    <col min="9997" max="9997" width="18.7109375" style="20" customWidth="1"/>
    <col min="9998" max="10029" width="0" style="20" hidden="1" customWidth="1"/>
    <col min="10030" max="10030" width="9.140625" style="20" customWidth="1"/>
    <col min="10031" max="10031" width="13.28515625" style="20" customWidth="1"/>
    <col min="10032" max="10055" width="9.140625" style="20" customWidth="1"/>
    <col min="10056" max="10056" width="22.7109375" style="20" customWidth="1"/>
    <col min="10057" max="10057" width="29" style="20" customWidth="1"/>
    <col min="10058" max="10058" width="9.5703125" style="20" customWidth="1"/>
    <col min="10059" max="10059" width="11.5703125" style="20" customWidth="1"/>
    <col min="10060" max="10060" width="10.7109375" style="20" customWidth="1"/>
    <col min="10061" max="10061" width="9.140625" style="20" customWidth="1"/>
    <col min="10062" max="10065" width="2.42578125" style="20" customWidth="1"/>
    <col min="10066" max="10066" width="4.85546875" style="20" customWidth="1"/>
    <col min="10067" max="10067" width="29.42578125" style="20" customWidth="1"/>
    <col min="10068" max="10068" width="17" style="20" customWidth="1"/>
    <col min="10069" max="10069" width="14.42578125" style="20" customWidth="1"/>
    <col min="10070" max="10070" width="17" style="20" customWidth="1"/>
    <col min="10071" max="10071" width="8.85546875" style="20" customWidth="1"/>
    <col min="10072" max="10081" width="2.42578125" style="20" customWidth="1"/>
    <col min="10082" max="10240" width="17.28515625" style="20"/>
    <col min="10241" max="10241" width="2.28515625" style="20" customWidth="1"/>
    <col min="10242" max="10242" width="35.85546875" style="20" customWidth="1"/>
    <col min="10243" max="10243" width="19.28515625" style="20" customWidth="1"/>
    <col min="10244" max="10246" width="14.7109375" style="20" customWidth="1"/>
    <col min="10247" max="10247" width="2.28515625" style="20" customWidth="1"/>
    <col min="10248" max="10248" width="3.28515625" style="20" customWidth="1"/>
    <col min="10249" max="10250" width="0" style="20" hidden="1" customWidth="1"/>
    <col min="10251" max="10252" width="9.140625" style="20" customWidth="1"/>
    <col min="10253" max="10253" width="18.7109375" style="20" customWidth="1"/>
    <col min="10254" max="10285" width="0" style="20" hidden="1" customWidth="1"/>
    <col min="10286" max="10286" width="9.140625" style="20" customWidth="1"/>
    <col min="10287" max="10287" width="13.28515625" style="20" customWidth="1"/>
    <col min="10288" max="10311" width="9.140625" style="20" customWidth="1"/>
    <col min="10312" max="10312" width="22.7109375" style="20" customWidth="1"/>
    <col min="10313" max="10313" width="29" style="20" customWidth="1"/>
    <col min="10314" max="10314" width="9.5703125" style="20" customWidth="1"/>
    <col min="10315" max="10315" width="11.5703125" style="20" customWidth="1"/>
    <col min="10316" max="10316" width="10.7109375" style="20" customWidth="1"/>
    <col min="10317" max="10317" width="9.140625" style="20" customWidth="1"/>
    <col min="10318" max="10321" width="2.42578125" style="20" customWidth="1"/>
    <col min="10322" max="10322" width="4.85546875" style="20" customWidth="1"/>
    <col min="10323" max="10323" width="29.42578125" style="20" customWidth="1"/>
    <col min="10324" max="10324" width="17" style="20" customWidth="1"/>
    <col min="10325" max="10325" width="14.42578125" style="20" customWidth="1"/>
    <col min="10326" max="10326" width="17" style="20" customWidth="1"/>
    <col min="10327" max="10327" width="8.85546875" style="20" customWidth="1"/>
    <col min="10328" max="10337" width="2.42578125" style="20" customWidth="1"/>
    <col min="10338" max="10496" width="17.28515625" style="20"/>
    <col min="10497" max="10497" width="2.28515625" style="20" customWidth="1"/>
    <col min="10498" max="10498" width="35.85546875" style="20" customWidth="1"/>
    <col min="10499" max="10499" width="19.28515625" style="20" customWidth="1"/>
    <col min="10500" max="10502" width="14.7109375" style="20" customWidth="1"/>
    <col min="10503" max="10503" width="2.28515625" style="20" customWidth="1"/>
    <col min="10504" max="10504" width="3.28515625" style="20" customWidth="1"/>
    <col min="10505" max="10506" width="0" style="20" hidden="1" customWidth="1"/>
    <col min="10507" max="10508" width="9.140625" style="20" customWidth="1"/>
    <col min="10509" max="10509" width="18.7109375" style="20" customWidth="1"/>
    <col min="10510" max="10541" width="0" style="20" hidden="1" customWidth="1"/>
    <col min="10542" max="10542" width="9.140625" style="20" customWidth="1"/>
    <col min="10543" max="10543" width="13.28515625" style="20" customWidth="1"/>
    <col min="10544" max="10567" width="9.140625" style="20" customWidth="1"/>
    <col min="10568" max="10568" width="22.7109375" style="20" customWidth="1"/>
    <col min="10569" max="10569" width="29" style="20" customWidth="1"/>
    <col min="10570" max="10570" width="9.5703125" style="20" customWidth="1"/>
    <col min="10571" max="10571" width="11.5703125" style="20" customWidth="1"/>
    <col min="10572" max="10572" width="10.7109375" style="20" customWidth="1"/>
    <col min="10573" max="10573" width="9.140625" style="20" customWidth="1"/>
    <col min="10574" max="10577" width="2.42578125" style="20" customWidth="1"/>
    <col min="10578" max="10578" width="4.85546875" style="20" customWidth="1"/>
    <col min="10579" max="10579" width="29.42578125" style="20" customWidth="1"/>
    <col min="10580" max="10580" width="17" style="20" customWidth="1"/>
    <col min="10581" max="10581" width="14.42578125" style="20" customWidth="1"/>
    <col min="10582" max="10582" width="17" style="20" customWidth="1"/>
    <col min="10583" max="10583" width="8.85546875" style="20" customWidth="1"/>
    <col min="10584" max="10593" width="2.42578125" style="20" customWidth="1"/>
    <col min="10594" max="10752" width="17.28515625" style="20"/>
    <col min="10753" max="10753" width="2.28515625" style="20" customWidth="1"/>
    <col min="10754" max="10754" width="35.85546875" style="20" customWidth="1"/>
    <col min="10755" max="10755" width="19.28515625" style="20" customWidth="1"/>
    <col min="10756" max="10758" width="14.7109375" style="20" customWidth="1"/>
    <col min="10759" max="10759" width="2.28515625" style="20" customWidth="1"/>
    <col min="10760" max="10760" width="3.28515625" style="20" customWidth="1"/>
    <col min="10761" max="10762" width="0" style="20" hidden="1" customWidth="1"/>
    <col min="10763" max="10764" width="9.140625" style="20" customWidth="1"/>
    <col min="10765" max="10765" width="18.7109375" style="20" customWidth="1"/>
    <col min="10766" max="10797" width="0" style="20" hidden="1" customWidth="1"/>
    <col min="10798" max="10798" width="9.140625" style="20" customWidth="1"/>
    <col min="10799" max="10799" width="13.28515625" style="20" customWidth="1"/>
    <col min="10800" max="10823" width="9.140625" style="20" customWidth="1"/>
    <col min="10824" max="10824" width="22.7109375" style="20" customWidth="1"/>
    <col min="10825" max="10825" width="29" style="20" customWidth="1"/>
    <col min="10826" max="10826" width="9.5703125" style="20" customWidth="1"/>
    <col min="10827" max="10827" width="11.5703125" style="20" customWidth="1"/>
    <col min="10828" max="10828" width="10.7109375" style="20" customWidth="1"/>
    <col min="10829" max="10829" width="9.140625" style="20" customWidth="1"/>
    <col min="10830" max="10833" width="2.42578125" style="20" customWidth="1"/>
    <col min="10834" max="10834" width="4.85546875" style="20" customWidth="1"/>
    <col min="10835" max="10835" width="29.42578125" style="20" customWidth="1"/>
    <col min="10836" max="10836" width="17" style="20" customWidth="1"/>
    <col min="10837" max="10837" width="14.42578125" style="20" customWidth="1"/>
    <col min="10838" max="10838" width="17" style="20" customWidth="1"/>
    <col min="10839" max="10839" width="8.85546875" style="20" customWidth="1"/>
    <col min="10840" max="10849" width="2.42578125" style="20" customWidth="1"/>
    <col min="10850" max="11008" width="17.28515625" style="20"/>
    <col min="11009" max="11009" width="2.28515625" style="20" customWidth="1"/>
    <col min="11010" max="11010" width="35.85546875" style="20" customWidth="1"/>
    <col min="11011" max="11011" width="19.28515625" style="20" customWidth="1"/>
    <col min="11012" max="11014" width="14.7109375" style="20" customWidth="1"/>
    <col min="11015" max="11015" width="2.28515625" style="20" customWidth="1"/>
    <col min="11016" max="11016" width="3.28515625" style="20" customWidth="1"/>
    <col min="11017" max="11018" width="0" style="20" hidden="1" customWidth="1"/>
    <col min="11019" max="11020" width="9.140625" style="20" customWidth="1"/>
    <col min="11021" max="11021" width="18.7109375" style="20" customWidth="1"/>
    <col min="11022" max="11053" width="0" style="20" hidden="1" customWidth="1"/>
    <col min="11054" max="11054" width="9.140625" style="20" customWidth="1"/>
    <col min="11055" max="11055" width="13.28515625" style="20" customWidth="1"/>
    <col min="11056" max="11079" width="9.140625" style="20" customWidth="1"/>
    <col min="11080" max="11080" width="22.7109375" style="20" customWidth="1"/>
    <col min="11081" max="11081" width="29" style="20" customWidth="1"/>
    <col min="11082" max="11082" width="9.5703125" style="20" customWidth="1"/>
    <col min="11083" max="11083" width="11.5703125" style="20" customWidth="1"/>
    <col min="11084" max="11084" width="10.7109375" style="20" customWidth="1"/>
    <col min="11085" max="11085" width="9.140625" style="20" customWidth="1"/>
    <col min="11086" max="11089" width="2.42578125" style="20" customWidth="1"/>
    <col min="11090" max="11090" width="4.85546875" style="20" customWidth="1"/>
    <col min="11091" max="11091" width="29.42578125" style="20" customWidth="1"/>
    <col min="11092" max="11092" width="17" style="20" customWidth="1"/>
    <col min="11093" max="11093" width="14.42578125" style="20" customWidth="1"/>
    <col min="11094" max="11094" width="17" style="20" customWidth="1"/>
    <col min="11095" max="11095" width="8.85546875" style="20" customWidth="1"/>
    <col min="11096" max="11105" width="2.42578125" style="20" customWidth="1"/>
    <col min="11106" max="11264" width="17.28515625" style="20"/>
    <col min="11265" max="11265" width="2.28515625" style="20" customWidth="1"/>
    <col min="11266" max="11266" width="35.85546875" style="20" customWidth="1"/>
    <col min="11267" max="11267" width="19.28515625" style="20" customWidth="1"/>
    <col min="11268" max="11270" width="14.7109375" style="20" customWidth="1"/>
    <col min="11271" max="11271" width="2.28515625" style="20" customWidth="1"/>
    <col min="11272" max="11272" width="3.28515625" style="20" customWidth="1"/>
    <col min="11273" max="11274" width="0" style="20" hidden="1" customWidth="1"/>
    <col min="11275" max="11276" width="9.140625" style="20" customWidth="1"/>
    <col min="11277" max="11277" width="18.7109375" style="20" customWidth="1"/>
    <col min="11278" max="11309" width="0" style="20" hidden="1" customWidth="1"/>
    <col min="11310" max="11310" width="9.140625" style="20" customWidth="1"/>
    <col min="11311" max="11311" width="13.28515625" style="20" customWidth="1"/>
    <col min="11312" max="11335" width="9.140625" style="20" customWidth="1"/>
    <col min="11336" max="11336" width="22.7109375" style="20" customWidth="1"/>
    <col min="11337" max="11337" width="29" style="20" customWidth="1"/>
    <col min="11338" max="11338" width="9.5703125" style="20" customWidth="1"/>
    <col min="11339" max="11339" width="11.5703125" style="20" customWidth="1"/>
    <col min="11340" max="11340" width="10.7109375" style="20" customWidth="1"/>
    <col min="11341" max="11341" width="9.140625" style="20" customWidth="1"/>
    <col min="11342" max="11345" width="2.42578125" style="20" customWidth="1"/>
    <col min="11346" max="11346" width="4.85546875" style="20" customWidth="1"/>
    <col min="11347" max="11347" width="29.42578125" style="20" customWidth="1"/>
    <col min="11348" max="11348" width="17" style="20" customWidth="1"/>
    <col min="11349" max="11349" width="14.42578125" style="20" customWidth="1"/>
    <col min="11350" max="11350" width="17" style="20" customWidth="1"/>
    <col min="11351" max="11351" width="8.85546875" style="20" customWidth="1"/>
    <col min="11352" max="11361" width="2.42578125" style="20" customWidth="1"/>
    <col min="11362" max="11520" width="17.28515625" style="20"/>
    <col min="11521" max="11521" width="2.28515625" style="20" customWidth="1"/>
    <col min="11522" max="11522" width="35.85546875" style="20" customWidth="1"/>
    <col min="11523" max="11523" width="19.28515625" style="20" customWidth="1"/>
    <col min="11524" max="11526" width="14.7109375" style="20" customWidth="1"/>
    <col min="11527" max="11527" width="2.28515625" style="20" customWidth="1"/>
    <col min="11528" max="11528" width="3.28515625" style="20" customWidth="1"/>
    <col min="11529" max="11530" width="0" style="20" hidden="1" customWidth="1"/>
    <col min="11531" max="11532" width="9.140625" style="20" customWidth="1"/>
    <col min="11533" max="11533" width="18.7109375" style="20" customWidth="1"/>
    <col min="11534" max="11565" width="0" style="20" hidden="1" customWidth="1"/>
    <col min="11566" max="11566" width="9.140625" style="20" customWidth="1"/>
    <col min="11567" max="11567" width="13.28515625" style="20" customWidth="1"/>
    <col min="11568" max="11591" width="9.140625" style="20" customWidth="1"/>
    <col min="11592" max="11592" width="22.7109375" style="20" customWidth="1"/>
    <col min="11593" max="11593" width="29" style="20" customWidth="1"/>
    <col min="11594" max="11594" width="9.5703125" style="20" customWidth="1"/>
    <col min="11595" max="11595" width="11.5703125" style="20" customWidth="1"/>
    <col min="11596" max="11596" width="10.7109375" style="20" customWidth="1"/>
    <col min="11597" max="11597" width="9.140625" style="20" customWidth="1"/>
    <col min="11598" max="11601" width="2.42578125" style="20" customWidth="1"/>
    <col min="11602" max="11602" width="4.85546875" style="20" customWidth="1"/>
    <col min="11603" max="11603" width="29.42578125" style="20" customWidth="1"/>
    <col min="11604" max="11604" width="17" style="20" customWidth="1"/>
    <col min="11605" max="11605" width="14.42578125" style="20" customWidth="1"/>
    <col min="11606" max="11606" width="17" style="20" customWidth="1"/>
    <col min="11607" max="11607" width="8.85546875" style="20" customWidth="1"/>
    <col min="11608" max="11617" width="2.42578125" style="20" customWidth="1"/>
    <col min="11618" max="11776" width="17.28515625" style="20"/>
    <col min="11777" max="11777" width="2.28515625" style="20" customWidth="1"/>
    <col min="11778" max="11778" width="35.85546875" style="20" customWidth="1"/>
    <col min="11779" max="11779" width="19.28515625" style="20" customWidth="1"/>
    <col min="11780" max="11782" width="14.7109375" style="20" customWidth="1"/>
    <col min="11783" max="11783" width="2.28515625" style="20" customWidth="1"/>
    <col min="11784" max="11784" width="3.28515625" style="20" customWidth="1"/>
    <col min="11785" max="11786" width="0" style="20" hidden="1" customWidth="1"/>
    <col min="11787" max="11788" width="9.140625" style="20" customWidth="1"/>
    <col min="11789" max="11789" width="18.7109375" style="20" customWidth="1"/>
    <col min="11790" max="11821" width="0" style="20" hidden="1" customWidth="1"/>
    <col min="11822" max="11822" width="9.140625" style="20" customWidth="1"/>
    <col min="11823" max="11823" width="13.28515625" style="20" customWidth="1"/>
    <col min="11824" max="11847" width="9.140625" style="20" customWidth="1"/>
    <col min="11848" max="11848" width="22.7109375" style="20" customWidth="1"/>
    <col min="11849" max="11849" width="29" style="20" customWidth="1"/>
    <col min="11850" max="11850" width="9.5703125" style="20" customWidth="1"/>
    <col min="11851" max="11851" width="11.5703125" style="20" customWidth="1"/>
    <col min="11852" max="11852" width="10.7109375" style="20" customWidth="1"/>
    <col min="11853" max="11853" width="9.140625" style="20" customWidth="1"/>
    <col min="11854" max="11857" width="2.42578125" style="20" customWidth="1"/>
    <col min="11858" max="11858" width="4.85546875" style="20" customWidth="1"/>
    <col min="11859" max="11859" width="29.42578125" style="20" customWidth="1"/>
    <col min="11860" max="11860" width="17" style="20" customWidth="1"/>
    <col min="11861" max="11861" width="14.42578125" style="20" customWidth="1"/>
    <col min="11862" max="11862" width="17" style="20" customWidth="1"/>
    <col min="11863" max="11863" width="8.85546875" style="20" customWidth="1"/>
    <col min="11864" max="11873" width="2.42578125" style="20" customWidth="1"/>
    <col min="11874" max="12032" width="17.28515625" style="20"/>
    <col min="12033" max="12033" width="2.28515625" style="20" customWidth="1"/>
    <col min="12034" max="12034" width="35.85546875" style="20" customWidth="1"/>
    <col min="12035" max="12035" width="19.28515625" style="20" customWidth="1"/>
    <col min="12036" max="12038" width="14.7109375" style="20" customWidth="1"/>
    <col min="12039" max="12039" width="2.28515625" style="20" customWidth="1"/>
    <col min="12040" max="12040" width="3.28515625" style="20" customWidth="1"/>
    <col min="12041" max="12042" width="0" style="20" hidden="1" customWidth="1"/>
    <col min="12043" max="12044" width="9.140625" style="20" customWidth="1"/>
    <col min="12045" max="12045" width="18.7109375" style="20" customWidth="1"/>
    <col min="12046" max="12077" width="0" style="20" hidden="1" customWidth="1"/>
    <col min="12078" max="12078" width="9.140625" style="20" customWidth="1"/>
    <col min="12079" max="12079" width="13.28515625" style="20" customWidth="1"/>
    <col min="12080" max="12103" width="9.140625" style="20" customWidth="1"/>
    <col min="12104" max="12104" width="22.7109375" style="20" customWidth="1"/>
    <col min="12105" max="12105" width="29" style="20" customWidth="1"/>
    <col min="12106" max="12106" width="9.5703125" style="20" customWidth="1"/>
    <col min="12107" max="12107" width="11.5703125" style="20" customWidth="1"/>
    <col min="12108" max="12108" width="10.7109375" style="20" customWidth="1"/>
    <col min="12109" max="12109" width="9.140625" style="20" customWidth="1"/>
    <col min="12110" max="12113" width="2.42578125" style="20" customWidth="1"/>
    <col min="12114" max="12114" width="4.85546875" style="20" customWidth="1"/>
    <col min="12115" max="12115" width="29.42578125" style="20" customWidth="1"/>
    <col min="12116" max="12116" width="17" style="20" customWidth="1"/>
    <col min="12117" max="12117" width="14.42578125" style="20" customWidth="1"/>
    <col min="12118" max="12118" width="17" style="20" customWidth="1"/>
    <col min="12119" max="12119" width="8.85546875" style="20" customWidth="1"/>
    <col min="12120" max="12129" width="2.42578125" style="20" customWidth="1"/>
    <col min="12130" max="12288" width="17.28515625" style="20"/>
    <col min="12289" max="12289" width="2.28515625" style="20" customWidth="1"/>
    <col min="12290" max="12290" width="35.85546875" style="20" customWidth="1"/>
    <col min="12291" max="12291" width="19.28515625" style="20" customWidth="1"/>
    <col min="12292" max="12294" width="14.7109375" style="20" customWidth="1"/>
    <col min="12295" max="12295" width="2.28515625" style="20" customWidth="1"/>
    <col min="12296" max="12296" width="3.28515625" style="20" customWidth="1"/>
    <col min="12297" max="12298" width="0" style="20" hidden="1" customWidth="1"/>
    <col min="12299" max="12300" width="9.140625" style="20" customWidth="1"/>
    <col min="12301" max="12301" width="18.7109375" style="20" customWidth="1"/>
    <col min="12302" max="12333" width="0" style="20" hidden="1" customWidth="1"/>
    <col min="12334" max="12334" width="9.140625" style="20" customWidth="1"/>
    <col min="12335" max="12335" width="13.28515625" style="20" customWidth="1"/>
    <col min="12336" max="12359" width="9.140625" style="20" customWidth="1"/>
    <col min="12360" max="12360" width="22.7109375" style="20" customWidth="1"/>
    <col min="12361" max="12361" width="29" style="20" customWidth="1"/>
    <col min="12362" max="12362" width="9.5703125" style="20" customWidth="1"/>
    <col min="12363" max="12363" width="11.5703125" style="20" customWidth="1"/>
    <col min="12364" max="12364" width="10.7109375" style="20" customWidth="1"/>
    <col min="12365" max="12365" width="9.140625" style="20" customWidth="1"/>
    <col min="12366" max="12369" width="2.42578125" style="20" customWidth="1"/>
    <col min="12370" max="12370" width="4.85546875" style="20" customWidth="1"/>
    <col min="12371" max="12371" width="29.42578125" style="20" customWidth="1"/>
    <col min="12372" max="12372" width="17" style="20" customWidth="1"/>
    <col min="12373" max="12373" width="14.42578125" style="20" customWidth="1"/>
    <col min="12374" max="12374" width="17" style="20" customWidth="1"/>
    <col min="12375" max="12375" width="8.85546875" style="20" customWidth="1"/>
    <col min="12376" max="12385" width="2.42578125" style="20" customWidth="1"/>
    <col min="12386" max="12544" width="17.28515625" style="20"/>
    <col min="12545" max="12545" width="2.28515625" style="20" customWidth="1"/>
    <col min="12546" max="12546" width="35.85546875" style="20" customWidth="1"/>
    <col min="12547" max="12547" width="19.28515625" style="20" customWidth="1"/>
    <col min="12548" max="12550" width="14.7109375" style="20" customWidth="1"/>
    <col min="12551" max="12551" width="2.28515625" style="20" customWidth="1"/>
    <col min="12552" max="12552" width="3.28515625" style="20" customWidth="1"/>
    <col min="12553" max="12554" width="0" style="20" hidden="1" customWidth="1"/>
    <col min="12555" max="12556" width="9.140625" style="20" customWidth="1"/>
    <col min="12557" max="12557" width="18.7109375" style="20" customWidth="1"/>
    <col min="12558" max="12589" width="0" style="20" hidden="1" customWidth="1"/>
    <col min="12590" max="12590" width="9.140625" style="20" customWidth="1"/>
    <col min="12591" max="12591" width="13.28515625" style="20" customWidth="1"/>
    <col min="12592" max="12615" width="9.140625" style="20" customWidth="1"/>
    <col min="12616" max="12616" width="22.7109375" style="20" customWidth="1"/>
    <col min="12617" max="12617" width="29" style="20" customWidth="1"/>
    <col min="12618" max="12618" width="9.5703125" style="20" customWidth="1"/>
    <col min="12619" max="12619" width="11.5703125" style="20" customWidth="1"/>
    <col min="12620" max="12620" width="10.7109375" style="20" customWidth="1"/>
    <col min="12621" max="12621" width="9.140625" style="20" customWidth="1"/>
    <col min="12622" max="12625" width="2.42578125" style="20" customWidth="1"/>
    <col min="12626" max="12626" width="4.85546875" style="20" customWidth="1"/>
    <col min="12627" max="12627" width="29.42578125" style="20" customWidth="1"/>
    <col min="12628" max="12628" width="17" style="20" customWidth="1"/>
    <col min="12629" max="12629" width="14.42578125" style="20" customWidth="1"/>
    <col min="12630" max="12630" width="17" style="20" customWidth="1"/>
    <col min="12631" max="12631" width="8.85546875" style="20" customWidth="1"/>
    <col min="12632" max="12641" width="2.42578125" style="20" customWidth="1"/>
    <col min="12642" max="12800" width="17.28515625" style="20"/>
    <col min="12801" max="12801" width="2.28515625" style="20" customWidth="1"/>
    <col min="12802" max="12802" width="35.85546875" style="20" customWidth="1"/>
    <col min="12803" max="12803" width="19.28515625" style="20" customWidth="1"/>
    <col min="12804" max="12806" width="14.7109375" style="20" customWidth="1"/>
    <col min="12807" max="12807" width="2.28515625" style="20" customWidth="1"/>
    <col min="12808" max="12808" width="3.28515625" style="20" customWidth="1"/>
    <col min="12809" max="12810" width="0" style="20" hidden="1" customWidth="1"/>
    <col min="12811" max="12812" width="9.140625" style="20" customWidth="1"/>
    <col min="12813" max="12813" width="18.7109375" style="20" customWidth="1"/>
    <col min="12814" max="12845" width="0" style="20" hidden="1" customWidth="1"/>
    <col min="12846" max="12846" width="9.140625" style="20" customWidth="1"/>
    <col min="12847" max="12847" width="13.28515625" style="20" customWidth="1"/>
    <col min="12848" max="12871" width="9.140625" style="20" customWidth="1"/>
    <col min="12872" max="12872" width="22.7109375" style="20" customWidth="1"/>
    <col min="12873" max="12873" width="29" style="20" customWidth="1"/>
    <col min="12874" max="12874" width="9.5703125" style="20" customWidth="1"/>
    <col min="12875" max="12875" width="11.5703125" style="20" customWidth="1"/>
    <col min="12876" max="12876" width="10.7109375" style="20" customWidth="1"/>
    <col min="12877" max="12877" width="9.140625" style="20" customWidth="1"/>
    <col min="12878" max="12881" width="2.42578125" style="20" customWidth="1"/>
    <col min="12882" max="12882" width="4.85546875" style="20" customWidth="1"/>
    <col min="12883" max="12883" width="29.42578125" style="20" customWidth="1"/>
    <col min="12884" max="12884" width="17" style="20" customWidth="1"/>
    <col min="12885" max="12885" width="14.42578125" style="20" customWidth="1"/>
    <col min="12886" max="12886" width="17" style="20" customWidth="1"/>
    <col min="12887" max="12887" width="8.85546875" style="20" customWidth="1"/>
    <col min="12888" max="12897" width="2.42578125" style="20" customWidth="1"/>
    <col min="12898" max="13056" width="17.28515625" style="20"/>
    <col min="13057" max="13057" width="2.28515625" style="20" customWidth="1"/>
    <col min="13058" max="13058" width="35.85546875" style="20" customWidth="1"/>
    <col min="13059" max="13059" width="19.28515625" style="20" customWidth="1"/>
    <col min="13060" max="13062" width="14.7109375" style="20" customWidth="1"/>
    <col min="13063" max="13063" width="2.28515625" style="20" customWidth="1"/>
    <col min="13064" max="13064" width="3.28515625" style="20" customWidth="1"/>
    <col min="13065" max="13066" width="0" style="20" hidden="1" customWidth="1"/>
    <col min="13067" max="13068" width="9.140625" style="20" customWidth="1"/>
    <col min="13069" max="13069" width="18.7109375" style="20" customWidth="1"/>
    <col min="13070" max="13101" width="0" style="20" hidden="1" customWidth="1"/>
    <col min="13102" max="13102" width="9.140625" style="20" customWidth="1"/>
    <col min="13103" max="13103" width="13.28515625" style="20" customWidth="1"/>
    <col min="13104" max="13127" width="9.140625" style="20" customWidth="1"/>
    <col min="13128" max="13128" width="22.7109375" style="20" customWidth="1"/>
    <col min="13129" max="13129" width="29" style="20" customWidth="1"/>
    <col min="13130" max="13130" width="9.5703125" style="20" customWidth="1"/>
    <col min="13131" max="13131" width="11.5703125" style="20" customWidth="1"/>
    <col min="13132" max="13132" width="10.7109375" style="20" customWidth="1"/>
    <col min="13133" max="13133" width="9.140625" style="20" customWidth="1"/>
    <col min="13134" max="13137" width="2.42578125" style="20" customWidth="1"/>
    <col min="13138" max="13138" width="4.85546875" style="20" customWidth="1"/>
    <col min="13139" max="13139" width="29.42578125" style="20" customWidth="1"/>
    <col min="13140" max="13140" width="17" style="20" customWidth="1"/>
    <col min="13141" max="13141" width="14.42578125" style="20" customWidth="1"/>
    <col min="13142" max="13142" width="17" style="20" customWidth="1"/>
    <col min="13143" max="13143" width="8.85546875" style="20" customWidth="1"/>
    <col min="13144" max="13153" width="2.42578125" style="20" customWidth="1"/>
    <col min="13154" max="13312" width="17.28515625" style="20"/>
    <col min="13313" max="13313" width="2.28515625" style="20" customWidth="1"/>
    <col min="13314" max="13314" width="35.85546875" style="20" customWidth="1"/>
    <col min="13315" max="13315" width="19.28515625" style="20" customWidth="1"/>
    <col min="13316" max="13318" width="14.7109375" style="20" customWidth="1"/>
    <col min="13319" max="13319" width="2.28515625" style="20" customWidth="1"/>
    <col min="13320" max="13320" width="3.28515625" style="20" customWidth="1"/>
    <col min="13321" max="13322" width="0" style="20" hidden="1" customWidth="1"/>
    <col min="13323" max="13324" width="9.140625" style="20" customWidth="1"/>
    <col min="13325" max="13325" width="18.7109375" style="20" customWidth="1"/>
    <col min="13326" max="13357" width="0" style="20" hidden="1" customWidth="1"/>
    <col min="13358" max="13358" width="9.140625" style="20" customWidth="1"/>
    <col min="13359" max="13359" width="13.28515625" style="20" customWidth="1"/>
    <col min="13360" max="13383" width="9.140625" style="20" customWidth="1"/>
    <col min="13384" max="13384" width="22.7109375" style="20" customWidth="1"/>
    <col min="13385" max="13385" width="29" style="20" customWidth="1"/>
    <col min="13386" max="13386" width="9.5703125" style="20" customWidth="1"/>
    <col min="13387" max="13387" width="11.5703125" style="20" customWidth="1"/>
    <col min="13388" max="13388" width="10.7109375" style="20" customWidth="1"/>
    <col min="13389" max="13389" width="9.140625" style="20" customWidth="1"/>
    <col min="13390" max="13393" width="2.42578125" style="20" customWidth="1"/>
    <col min="13394" max="13394" width="4.85546875" style="20" customWidth="1"/>
    <col min="13395" max="13395" width="29.42578125" style="20" customWidth="1"/>
    <col min="13396" max="13396" width="17" style="20" customWidth="1"/>
    <col min="13397" max="13397" width="14.42578125" style="20" customWidth="1"/>
    <col min="13398" max="13398" width="17" style="20" customWidth="1"/>
    <col min="13399" max="13399" width="8.85546875" style="20" customWidth="1"/>
    <col min="13400" max="13409" width="2.42578125" style="20" customWidth="1"/>
    <col min="13410" max="13568" width="17.28515625" style="20"/>
    <col min="13569" max="13569" width="2.28515625" style="20" customWidth="1"/>
    <col min="13570" max="13570" width="35.85546875" style="20" customWidth="1"/>
    <col min="13571" max="13571" width="19.28515625" style="20" customWidth="1"/>
    <col min="13572" max="13574" width="14.7109375" style="20" customWidth="1"/>
    <col min="13575" max="13575" width="2.28515625" style="20" customWidth="1"/>
    <col min="13576" max="13576" width="3.28515625" style="20" customWidth="1"/>
    <col min="13577" max="13578" width="0" style="20" hidden="1" customWidth="1"/>
    <col min="13579" max="13580" width="9.140625" style="20" customWidth="1"/>
    <col min="13581" max="13581" width="18.7109375" style="20" customWidth="1"/>
    <col min="13582" max="13613" width="0" style="20" hidden="1" customWidth="1"/>
    <col min="13614" max="13614" width="9.140625" style="20" customWidth="1"/>
    <col min="13615" max="13615" width="13.28515625" style="20" customWidth="1"/>
    <col min="13616" max="13639" width="9.140625" style="20" customWidth="1"/>
    <col min="13640" max="13640" width="22.7109375" style="20" customWidth="1"/>
    <col min="13641" max="13641" width="29" style="20" customWidth="1"/>
    <col min="13642" max="13642" width="9.5703125" style="20" customWidth="1"/>
    <col min="13643" max="13643" width="11.5703125" style="20" customWidth="1"/>
    <col min="13644" max="13644" width="10.7109375" style="20" customWidth="1"/>
    <col min="13645" max="13645" width="9.140625" style="20" customWidth="1"/>
    <col min="13646" max="13649" width="2.42578125" style="20" customWidth="1"/>
    <col min="13650" max="13650" width="4.85546875" style="20" customWidth="1"/>
    <col min="13651" max="13651" width="29.42578125" style="20" customWidth="1"/>
    <col min="13652" max="13652" width="17" style="20" customWidth="1"/>
    <col min="13653" max="13653" width="14.42578125" style="20" customWidth="1"/>
    <col min="13654" max="13654" width="17" style="20" customWidth="1"/>
    <col min="13655" max="13655" width="8.85546875" style="20" customWidth="1"/>
    <col min="13656" max="13665" width="2.42578125" style="20" customWidth="1"/>
    <col min="13666" max="13824" width="17.28515625" style="20"/>
    <col min="13825" max="13825" width="2.28515625" style="20" customWidth="1"/>
    <col min="13826" max="13826" width="35.85546875" style="20" customWidth="1"/>
    <col min="13827" max="13827" width="19.28515625" style="20" customWidth="1"/>
    <col min="13828" max="13830" width="14.7109375" style="20" customWidth="1"/>
    <col min="13831" max="13831" width="2.28515625" style="20" customWidth="1"/>
    <col min="13832" max="13832" width="3.28515625" style="20" customWidth="1"/>
    <col min="13833" max="13834" width="0" style="20" hidden="1" customWidth="1"/>
    <col min="13835" max="13836" width="9.140625" style="20" customWidth="1"/>
    <col min="13837" max="13837" width="18.7109375" style="20" customWidth="1"/>
    <col min="13838" max="13869" width="0" style="20" hidden="1" customWidth="1"/>
    <col min="13870" max="13870" width="9.140625" style="20" customWidth="1"/>
    <col min="13871" max="13871" width="13.28515625" style="20" customWidth="1"/>
    <col min="13872" max="13895" width="9.140625" style="20" customWidth="1"/>
    <col min="13896" max="13896" width="22.7109375" style="20" customWidth="1"/>
    <col min="13897" max="13897" width="29" style="20" customWidth="1"/>
    <col min="13898" max="13898" width="9.5703125" style="20" customWidth="1"/>
    <col min="13899" max="13899" width="11.5703125" style="20" customWidth="1"/>
    <col min="13900" max="13900" width="10.7109375" style="20" customWidth="1"/>
    <col min="13901" max="13901" width="9.140625" style="20" customWidth="1"/>
    <col min="13902" max="13905" width="2.42578125" style="20" customWidth="1"/>
    <col min="13906" max="13906" width="4.85546875" style="20" customWidth="1"/>
    <col min="13907" max="13907" width="29.42578125" style="20" customWidth="1"/>
    <col min="13908" max="13908" width="17" style="20" customWidth="1"/>
    <col min="13909" max="13909" width="14.42578125" style="20" customWidth="1"/>
    <col min="13910" max="13910" width="17" style="20" customWidth="1"/>
    <col min="13911" max="13911" width="8.85546875" style="20" customWidth="1"/>
    <col min="13912" max="13921" width="2.42578125" style="20" customWidth="1"/>
    <col min="13922" max="14080" width="17.28515625" style="20"/>
    <col min="14081" max="14081" width="2.28515625" style="20" customWidth="1"/>
    <col min="14082" max="14082" width="35.85546875" style="20" customWidth="1"/>
    <col min="14083" max="14083" width="19.28515625" style="20" customWidth="1"/>
    <col min="14084" max="14086" width="14.7109375" style="20" customWidth="1"/>
    <col min="14087" max="14087" width="2.28515625" style="20" customWidth="1"/>
    <col min="14088" max="14088" width="3.28515625" style="20" customWidth="1"/>
    <col min="14089" max="14090" width="0" style="20" hidden="1" customWidth="1"/>
    <col min="14091" max="14092" width="9.140625" style="20" customWidth="1"/>
    <col min="14093" max="14093" width="18.7109375" style="20" customWidth="1"/>
    <col min="14094" max="14125" width="0" style="20" hidden="1" customWidth="1"/>
    <col min="14126" max="14126" width="9.140625" style="20" customWidth="1"/>
    <col min="14127" max="14127" width="13.28515625" style="20" customWidth="1"/>
    <col min="14128" max="14151" width="9.140625" style="20" customWidth="1"/>
    <col min="14152" max="14152" width="22.7109375" style="20" customWidth="1"/>
    <col min="14153" max="14153" width="29" style="20" customWidth="1"/>
    <col min="14154" max="14154" width="9.5703125" style="20" customWidth="1"/>
    <col min="14155" max="14155" width="11.5703125" style="20" customWidth="1"/>
    <col min="14156" max="14156" width="10.7109375" style="20" customWidth="1"/>
    <col min="14157" max="14157" width="9.140625" style="20" customWidth="1"/>
    <col min="14158" max="14161" width="2.42578125" style="20" customWidth="1"/>
    <col min="14162" max="14162" width="4.85546875" style="20" customWidth="1"/>
    <col min="14163" max="14163" width="29.42578125" style="20" customWidth="1"/>
    <col min="14164" max="14164" width="17" style="20" customWidth="1"/>
    <col min="14165" max="14165" width="14.42578125" style="20" customWidth="1"/>
    <col min="14166" max="14166" width="17" style="20" customWidth="1"/>
    <col min="14167" max="14167" width="8.85546875" style="20" customWidth="1"/>
    <col min="14168" max="14177" width="2.42578125" style="20" customWidth="1"/>
    <col min="14178" max="14336" width="17.28515625" style="20"/>
    <col min="14337" max="14337" width="2.28515625" style="20" customWidth="1"/>
    <col min="14338" max="14338" width="35.85546875" style="20" customWidth="1"/>
    <col min="14339" max="14339" width="19.28515625" style="20" customWidth="1"/>
    <col min="14340" max="14342" width="14.7109375" style="20" customWidth="1"/>
    <col min="14343" max="14343" width="2.28515625" style="20" customWidth="1"/>
    <col min="14344" max="14344" width="3.28515625" style="20" customWidth="1"/>
    <col min="14345" max="14346" width="0" style="20" hidden="1" customWidth="1"/>
    <col min="14347" max="14348" width="9.140625" style="20" customWidth="1"/>
    <col min="14349" max="14349" width="18.7109375" style="20" customWidth="1"/>
    <col min="14350" max="14381" width="0" style="20" hidden="1" customWidth="1"/>
    <col min="14382" max="14382" width="9.140625" style="20" customWidth="1"/>
    <col min="14383" max="14383" width="13.28515625" style="20" customWidth="1"/>
    <col min="14384" max="14407" width="9.140625" style="20" customWidth="1"/>
    <col min="14408" max="14408" width="22.7109375" style="20" customWidth="1"/>
    <col min="14409" max="14409" width="29" style="20" customWidth="1"/>
    <col min="14410" max="14410" width="9.5703125" style="20" customWidth="1"/>
    <col min="14411" max="14411" width="11.5703125" style="20" customWidth="1"/>
    <col min="14412" max="14412" width="10.7109375" style="20" customWidth="1"/>
    <col min="14413" max="14413" width="9.140625" style="20" customWidth="1"/>
    <col min="14414" max="14417" width="2.42578125" style="20" customWidth="1"/>
    <col min="14418" max="14418" width="4.85546875" style="20" customWidth="1"/>
    <col min="14419" max="14419" width="29.42578125" style="20" customWidth="1"/>
    <col min="14420" max="14420" width="17" style="20" customWidth="1"/>
    <col min="14421" max="14421" width="14.42578125" style="20" customWidth="1"/>
    <col min="14422" max="14422" width="17" style="20" customWidth="1"/>
    <col min="14423" max="14423" width="8.85546875" style="20" customWidth="1"/>
    <col min="14424" max="14433" width="2.42578125" style="20" customWidth="1"/>
    <col min="14434" max="14592" width="17.28515625" style="20"/>
    <col min="14593" max="14593" width="2.28515625" style="20" customWidth="1"/>
    <col min="14594" max="14594" width="35.85546875" style="20" customWidth="1"/>
    <col min="14595" max="14595" width="19.28515625" style="20" customWidth="1"/>
    <col min="14596" max="14598" width="14.7109375" style="20" customWidth="1"/>
    <col min="14599" max="14599" width="2.28515625" style="20" customWidth="1"/>
    <col min="14600" max="14600" width="3.28515625" style="20" customWidth="1"/>
    <col min="14601" max="14602" width="0" style="20" hidden="1" customWidth="1"/>
    <col min="14603" max="14604" width="9.140625" style="20" customWidth="1"/>
    <col min="14605" max="14605" width="18.7109375" style="20" customWidth="1"/>
    <col min="14606" max="14637" width="0" style="20" hidden="1" customWidth="1"/>
    <col min="14638" max="14638" width="9.140625" style="20" customWidth="1"/>
    <col min="14639" max="14639" width="13.28515625" style="20" customWidth="1"/>
    <col min="14640" max="14663" width="9.140625" style="20" customWidth="1"/>
    <col min="14664" max="14664" width="22.7109375" style="20" customWidth="1"/>
    <col min="14665" max="14665" width="29" style="20" customWidth="1"/>
    <col min="14666" max="14666" width="9.5703125" style="20" customWidth="1"/>
    <col min="14667" max="14667" width="11.5703125" style="20" customWidth="1"/>
    <col min="14668" max="14668" width="10.7109375" style="20" customWidth="1"/>
    <col min="14669" max="14669" width="9.140625" style="20" customWidth="1"/>
    <col min="14670" max="14673" width="2.42578125" style="20" customWidth="1"/>
    <col min="14674" max="14674" width="4.85546875" style="20" customWidth="1"/>
    <col min="14675" max="14675" width="29.42578125" style="20" customWidth="1"/>
    <col min="14676" max="14676" width="17" style="20" customWidth="1"/>
    <col min="14677" max="14677" width="14.42578125" style="20" customWidth="1"/>
    <col min="14678" max="14678" width="17" style="20" customWidth="1"/>
    <col min="14679" max="14679" width="8.85546875" style="20" customWidth="1"/>
    <col min="14680" max="14689" width="2.42578125" style="20" customWidth="1"/>
    <col min="14690" max="14848" width="17.28515625" style="20"/>
    <col min="14849" max="14849" width="2.28515625" style="20" customWidth="1"/>
    <col min="14850" max="14850" width="35.85546875" style="20" customWidth="1"/>
    <col min="14851" max="14851" width="19.28515625" style="20" customWidth="1"/>
    <col min="14852" max="14854" width="14.7109375" style="20" customWidth="1"/>
    <col min="14855" max="14855" width="2.28515625" style="20" customWidth="1"/>
    <col min="14856" max="14856" width="3.28515625" style="20" customWidth="1"/>
    <col min="14857" max="14858" width="0" style="20" hidden="1" customWidth="1"/>
    <col min="14859" max="14860" width="9.140625" style="20" customWidth="1"/>
    <col min="14861" max="14861" width="18.7109375" style="20" customWidth="1"/>
    <col min="14862" max="14893" width="0" style="20" hidden="1" customWidth="1"/>
    <col min="14894" max="14894" width="9.140625" style="20" customWidth="1"/>
    <col min="14895" max="14895" width="13.28515625" style="20" customWidth="1"/>
    <col min="14896" max="14919" width="9.140625" style="20" customWidth="1"/>
    <col min="14920" max="14920" width="22.7109375" style="20" customWidth="1"/>
    <col min="14921" max="14921" width="29" style="20" customWidth="1"/>
    <col min="14922" max="14922" width="9.5703125" style="20" customWidth="1"/>
    <col min="14923" max="14923" width="11.5703125" style="20" customWidth="1"/>
    <col min="14924" max="14924" width="10.7109375" style="20" customWidth="1"/>
    <col min="14925" max="14925" width="9.140625" style="20" customWidth="1"/>
    <col min="14926" max="14929" width="2.42578125" style="20" customWidth="1"/>
    <col min="14930" max="14930" width="4.85546875" style="20" customWidth="1"/>
    <col min="14931" max="14931" width="29.42578125" style="20" customWidth="1"/>
    <col min="14932" max="14932" width="17" style="20" customWidth="1"/>
    <col min="14933" max="14933" width="14.42578125" style="20" customWidth="1"/>
    <col min="14934" max="14934" width="17" style="20" customWidth="1"/>
    <col min="14935" max="14935" width="8.85546875" style="20" customWidth="1"/>
    <col min="14936" max="14945" width="2.42578125" style="20" customWidth="1"/>
    <col min="14946" max="15104" width="17.28515625" style="20"/>
    <col min="15105" max="15105" width="2.28515625" style="20" customWidth="1"/>
    <col min="15106" max="15106" width="35.85546875" style="20" customWidth="1"/>
    <col min="15107" max="15107" width="19.28515625" style="20" customWidth="1"/>
    <col min="15108" max="15110" width="14.7109375" style="20" customWidth="1"/>
    <col min="15111" max="15111" width="2.28515625" style="20" customWidth="1"/>
    <col min="15112" max="15112" width="3.28515625" style="20" customWidth="1"/>
    <col min="15113" max="15114" width="0" style="20" hidden="1" customWidth="1"/>
    <col min="15115" max="15116" width="9.140625" style="20" customWidth="1"/>
    <col min="15117" max="15117" width="18.7109375" style="20" customWidth="1"/>
    <col min="15118" max="15149" width="0" style="20" hidden="1" customWidth="1"/>
    <col min="15150" max="15150" width="9.140625" style="20" customWidth="1"/>
    <col min="15151" max="15151" width="13.28515625" style="20" customWidth="1"/>
    <col min="15152" max="15175" width="9.140625" style="20" customWidth="1"/>
    <col min="15176" max="15176" width="22.7109375" style="20" customWidth="1"/>
    <col min="15177" max="15177" width="29" style="20" customWidth="1"/>
    <col min="15178" max="15178" width="9.5703125" style="20" customWidth="1"/>
    <col min="15179" max="15179" width="11.5703125" style="20" customWidth="1"/>
    <col min="15180" max="15180" width="10.7109375" style="20" customWidth="1"/>
    <col min="15181" max="15181" width="9.140625" style="20" customWidth="1"/>
    <col min="15182" max="15185" width="2.42578125" style="20" customWidth="1"/>
    <col min="15186" max="15186" width="4.85546875" style="20" customWidth="1"/>
    <col min="15187" max="15187" width="29.42578125" style="20" customWidth="1"/>
    <col min="15188" max="15188" width="17" style="20" customWidth="1"/>
    <col min="15189" max="15189" width="14.42578125" style="20" customWidth="1"/>
    <col min="15190" max="15190" width="17" style="20" customWidth="1"/>
    <col min="15191" max="15191" width="8.85546875" style="20" customWidth="1"/>
    <col min="15192" max="15201" width="2.42578125" style="20" customWidth="1"/>
    <col min="15202" max="15360" width="17.28515625" style="20"/>
    <col min="15361" max="15361" width="2.28515625" style="20" customWidth="1"/>
    <col min="15362" max="15362" width="35.85546875" style="20" customWidth="1"/>
    <col min="15363" max="15363" width="19.28515625" style="20" customWidth="1"/>
    <col min="15364" max="15366" width="14.7109375" style="20" customWidth="1"/>
    <col min="15367" max="15367" width="2.28515625" style="20" customWidth="1"/>
    <col min="15368" max="15368" width="3.28515625" style="20" customWidth="1"/>
    <col min="15369" max="15370" width="0" style="20" hidden="1" customWidth="1"/>
    <col min="15371" max="15372" width="9.140625" style="20" customWidth="1"/>
    <col min="15373" max="15373" width="18.7109375" style="20" customWidth="1"/>
    <col min="15374" max="15405" width="0" style="20" hidden="1" customWidth="1"/>
    <col min="15406" max="15406" width="9.140625" style="20" customWidth="1"/>
    <col min="15407" max="15407" width="13.28515625" style="20" customWidth="1"/>
    <col min="15408" max="15431" width="9.140625" style="20" customWidth="1"/>
    <col min="15432" max="15432" width="22.7109375" style="20" customWidth="1"/>
    <col min="15433" max="15433" width="29" style="20" customWidth="1"/>
    <col min="15434" max="15434" width="9.5703125" style="20" customWidth="1"/>
    <col min="15435" max="15435" width="11.5703125" style="20" customWidth="1"/>
    <col min="15436" max="15436" width="10.7109375" style="20" customWidth="1"/>
    <col min="15437" max="15437" width="9.140625" style="20" customWidth="1"/>
    <col min="15438" max="15441" width="2.42578125" style="20" customWidth="1"/>
    <col min="15442" max="15442" width="4.85546875" style="20" customWidth="1"/>
    <col min="15443" max="15443" width="29.42578125" style="20" customWidth="1"/>
    <col min="15444" max="15444" width="17" style="20" customWidth="1"/>
    <col min="15445" max="15445" width="14.42578125" style="20" customWidth="1"/>
    <col min="15446" max="15446" width="17" style="20" customWidth="1"/>
    <col min="15447" max="15447" width="8.85546875" style="20" customWidth="1"/>
    <col min="15448" max="15457" width="2.42578125" style="20" customWidth="1"/>
    <col min="15458" max="15616" width="17.28515625" style="20"/>
    <col min="15617" max="15617" width="2.28515625" style="20" customWidth="1"/>
    <col min="15618" max="15618" width="35.85546875" style="20" customWidth="1"/>
    <col min="15619" max="15619" width="19.28515625" style="20" customWidth="1"/>
    <col min="15620" max="15622" width="14.7109375" style="20" customWidth="1"/>
    <col min="15623" max="15623" width="2.28515625" style="20" customWidth="1"/>
    <col min="15624" max="15624" width="3.28515625" style="20" customWidth="1"/>
    <col min="15625" max="15626" width="0" style="20" hidden="1" customWidth="1"/>
    <col min="15627" max="15628" width="9.140625" style="20" customWidth="1"/>
    <col min="15629" max="15629" width="18.7109375" style="20" customWidth="1"/>
    <col min="15630" max="15661" width="0" style="20" hidden="1" customWidth="1"/>
    <col min="15662" max="15662" width="9.140625" style="20" customWidth="1"/>
    <col min="15663" max="15663" width="13.28515625" style="20" customWidth="1"/>
    <col min="15664" max="15687" width="9.140625" style="20" customWidth="1"/>
    <col min="15688" max="15688" width="22.7109375" style="20" customWidth="1"/>
    <col min="15689" max="15689" width="29" style="20" customWidth="1"/>
    <col min="15690" max="15690" width="9.5703125" style="20" customWidth="1"/>
    <col min="15691" max="15691" width="11.5703125" style="20" customWidth="1"/>
    <col min="15692" max="15692" width="10.7109375" style="20" customWidth="1"/>
    <col min="15693" max="15693" width="9.140625" style="20" customWidth="1"/>
    <col min="15694" max="15697" width="2.42578125" style="20" customWidth="1"/>
    <col min="15698" max="15698" width="4.85546875" style="20" customWidth="1"/>
    <col min="15699" max="15699" width="29.42578125" style="20" customWidth="1"/>
    <col min="15700" max="15700" width="17" style="20" customWidth="1"/>
    <col min="15701" max="15701" width="14.42578125" style="20" customWidth="1"/>
    <col min="15702" max="15702" width="17" style="20" customWidth="1"/>
    <col min="15703" max="15703" width="8.85546875" style="20" customWidth="1"/>
    <col min="15704" max="15713" width="2.42578125" style="20" customWidth="1"/>
    <col min="15714" max="15872" width="17.28515625" style="20"/>
    <col min="15873" max="15873" width="2.28515625" style="20" customWidth="1"/>
    <col min="15874" max="15874" width="35.85546875" style="20" customWidth="1"/>
    <col min="15875" max="15875" width="19.28515625" style="20" customWidth="1"/>
    <col min="15876" max="15878" width="14.7109375" style="20" customWidth="1"/>
    <col min="15879" max="15879" width="2.28515625" style="20" customWidth="1"/>
    <col min="15880" max="15880" width="3.28515625" style="20" customWidth="1"/>
    <col min="15881" max="15882" width="0" style="20" hidden="1" customWidth="1"/>
    <col min="15883" max="15884" width="9.140625" style="20" customWidth="1"/>
    <col min="15885" max="15885" width="18.7109375" style="20" customWidth="1"/>
    <col min="15886" max="15917" width="0" style="20" hidden="1" customWidth="1"/>
    <col min="15918" max="15918" width="9.140625" style="20" customWidth="1"/>
    <col min="15919" max="15919" width="13.28515625" style="20" customWidth="1"/>
    <col min="15920" max="15943" width="9.140625" style="20" customWidth="1"/>
    <col min="15944" max="15944" width="22.7109375" style="20" customWidth="1"/>
    <col min="15945" max="15945" width="29" style="20" customWidth="1"/>
    <col min="15946" max="15946" width="9.5703125" style="20" customWidth="1"/>
    <col min="15947" max="15947" width="11.5703125" style="20" customWidth="1"/>
    <col min="15948" max="15948" width="10.7109375" style="20" customWidth="1"/>
    <col min="15949" max="15949" width="9.140625" style="20" customWidth="1"/>
    <col min="15950" max="15953" width="2.42578125" style="20" customWidth="1"/>
    <col min="15954" max="15954" width="4.85546875" style="20" customWidth="1"/>
    <col min="15955" max="15955" width="29.42578125" style="20" customWidth="1"/>
    <col min="15956" max="15956" width="17" style="20" customWidth="1"/>
    <col min="15957" max="15957" width="14.42578125" style="20" customWidth="1"/>
    <col min="15958" max="15958" width="17" style="20" customWidth="1"/>
    <col min="15959" max="15959" width="8.85546875" style="20" customWidth="1"/>
    <col min="15960" max="15969" width="2.42578125" style="20" customWidth="1"/>
    <col min="15970" max="16128" width="17.28515625" style="20"/>
    <col min="16129" max="16129" width="2.28515625" style="20" customWidth="1"/>
    <col min="16130" max="16130" width="35.85546875" style="20" customWidth="1"/>
    <col min="16131" max="16131" width="19.28515625" style="20" customWidth="1"/>
    <col min="16132" max="16134" width="14.7109375" style="20" customWidth="1"/>
    <col min="16135" max="16135" width="2.28515625" style="20" customWidth="1"/>
    <col min="16136" max="16136" width="3.28515625" style="20" customWidth="1"/>
    <col min="16137" max="16138" width="0" style="20" hidden="1" customWidth="1"/>
    <col min="16139" max="16140" width="9.140625" style="20" customWidth="1"/>
    <col min="16141" max="16141" width="18.7109375" style="20" customWidth="1"/>
    <col min="16142" max="16173" width="0" style="20" hidden="1" customWidth="1"/>
    <col min="16174" max="16174" width="9.140625" style="20" customWidth="1"/>
    <col min="16175" max="16175" width="13.28515625" style="20" customWidth="1"/>
    <col min="16176" max="16199" width="9.140625" style="20" customWidth="1"/>
    <col min="16200" max="16200" width="22.7109375" style="20" customWidth="1"/>
    <col min="16201" max="16201" width="29" style="20" customWidth="1"/>
    <col min="16202" max="16202" width="9.5703125" style="20" customWidth="1"/>
    <col min="16203" max="16203" width="11.5703125" style="20" customWidth="1"/>
    <col min="16204" max="16204" width="10.7109375" style="20" customWidth="1"/>
    <col min="16205" max="16205" width="9.140625" style="20" customWidth="1"/>
    <col min="16206" max="16209" width="2.42578125" style="20" customWidth="1"/>
    <col min="16210" max="16210" width="4.85546875" style="20" customWidth="1"/>
    <col min="16211" max="16211" width="29.42578125" style="20" customWidth="1"/>
    <col min="16212" max="16212" width="17" style="20" customWidth="1"/>
    <col min="16213" max="16213" width="14.42578125" style="20" customWidth="1"/>
    <col min="16214" max="16214" width="17" style="20" customWidth="1"/>
    <col min="16215" max="16215" width="8.85546875" style="20" customWidth="1"/>
    <col min="16216" max="16225" width="2.42578125" style="20" customWidth="1"/>
    <col min="16226" max="16384" width="17.28515625" style="20"/>
  </cols>
  <sheetData>
    <row r="1" spans="1:97" ht="21.75" customHeight="1" thickTop="1" thickBot="1" x14ac:dyDescent="0.3">
      <c r="A1" s="17"/>
      <c r="B1" s="222" t="s">
        <v>26</v>
      </c>
      <c r="C1" s="223"/>
      <c r="D1" s="223"/>
      <c r="E1" s="223"/>
      <c r="F1" s="223"/>
      <c r="G1" s="1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row>
    <row r="2" spans="1:97" ht="3.75" customHeight="1" thickTop="1" thickBot="1" x14ac:dyDescent="0.3">
      <c r="A2" s="19"/>
      <c r="B2" s="21"/>
      <c r="C2" s="21"/>
      <c r="D2" s="21"/>
      <c r="E2" s="21"/>
      <c r="F2" s="21"/>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row>
    <row r="3" spans="1:97" ht="3.75" customHeight="1" x14ac:dyDescent="0.25">
      <c r="A3" s="22"/>
      <c r="B3" s="23"/>
      <c r="C3" s="23"/>
      <c r="D3" s="23"/>
      <c r="E3" s="23"/>
      <c r="F3" s="23"/>
      <c r="G3" s="24"/>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row>
    <row r="4" spans="1:97" ht="12.75" customHeight="1" x14ac:dyDescent="0.25">
      <c r="A4" s="25"/>
      <c r="B4" s="224" t="s">
        <v>27</v>
      </c>
      <c r="C4" s="219"/>
      <c r="D4" s="219"/>
      <c r="E4" s="219"/>
      <c r="F4" s="219"/>
      <c r="G4" s="26"/>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row>
    <row r="5" spans="1:97" ht="3.75" customHeight="1" x14ac:dyDescent="0.25">
      <c r="A5" s="25"/>
      <c r="B5" s="27"/>
      <c r="C5" s="27"/>
      <c r="D5" s="27"/>
      <c r="E5" s="27"/>
      <c r="F5" s="27"/>
      <c r="G5" s="26"/>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row>
    <row r="6" spans="1:97" ht="38.25" customHeight="1" x14ac:dyDescent="0.25">
      <c r="A6" s="25"/>
      <c r="B6" s="28" t="s">
        <v>28</v>
      </c>
      <c r="C6" s="225" t="s">
        <v>29</v>
      </c>
      <c r="D6" s="226"/>
      <c r="E6" s="226"/>
      <c r="F6" s="227"/>
      <c r="G6" s="26"/>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row>
    <row r="7" spans="1:97" ht="12.75" customHeight="1" x14ac:dyDescent="0.25">
      <c r="A7" s="25"/>
      <c r="B7" s="27"/>
      <c r="C7" s="19"/>
      <c r="D7" s="19"/>
      <c r="E7" s="19"/>
      <c r="F7" s="19"/>
      <c r="G7" s="26"/>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row>
    <row r="8" spans="1:97" ht="12.75" customHeight="1" x14ac:dyDescent="0.25">
      <c r="A8" s="25"/>
      <c r="B8" s="28" t="s">
        <v>30</v>
      </c>
      <c r="C8" s="19"/>
      <c r="D8" s="19"/>
      <c r="E8" s="19"/>
      <c r="F8" s="29" t="s">
        <v>31</v>
      </c>
      <c r="G8" s="26"/>
      <c r="H8" s="19"/>
      <c r="I8" s="19"/>
      <c r="J8" s="19"/>
      <c r="K8" s="30" t="str">
        <f>IF(F8="","PREENCHER SE A OBRA POSSUI FOLHA DE PAGAMENTO DESONERADA","")</f>
        <v/>
      </c>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row>
    <row r="9" spans="1:97" ht="12.75" customHeight="1" x14ac:dyDescent="0.25">
      <c r="A9" s="25"/>
      <c r="B9" s="31" t="s">
        <v>32</v>
      </c>
      <c r="C9" s="19"/>
      <c r="D9" s="19"/>
      <c r="E9" s="19"/>
      <c r="F9" s="19"/>
      <c r="G9" s="26"/>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row>
    <row r="10" spans="1:97" ht="12.75" customHeight="1" x14ac:dyDescent="0.25">
      <c r="A10" s="25"/>
      <c r="B10" s="27"/>
      <c r="C10" s="27"/>
      <c r="D10" s="27"/>
      <c r="E10" s="32"/>
      <c r="F10" s="27"/>
      <c r="G10" s="26"/>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row>
    <row r="11" spans="1:97" ht="12.75" customHeight="1" x14ac:dyDescent="0.25">
      <c r="A11" s="25"/>
      <c r="B11" s="27" t="s">
        <v>33</v>
      </c>
      <c r="C11" s="27"/>
      <c r="D11" s="27"/>
      <c r="E11" s="32"/>
      <c r="F11" s="27"/>
      <c r="G11" s="26"/>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row>
    <row r="12" spans="1:97" ht="151.5" customHeight="1" x14ac:dyDescent="0.25">
      <c r="A12" s="25"/>
      <c r="B12" s="228" t="str">
        <f>IF(C6="","",VLOOKUP(BU305,BV267:BW272,2,0))</f>
        <v>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v>
      </c>
      <c r="C12" s="229"/>
      <c r="D12" s="229"/>
      <c r="E12" s="229"/>
      <c r="F12" s="230"/>
      <c r="G12" s="26"/>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row>
    <row r="13" spans="1:97" ht="3.75" customHeight="1" x14ac:dyDescent="0.25">
      <c r="A13" s="25"/>
      <c r="B13" s="27"/>
      <c r="C13" s="27"/>
      <c r="D13" s="27"/>
      <c r="E13" s="32"/>
      <c r="F13" s="27"/>
      <c r="G13" s="26"/>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row>
    <row r="14" spans="1:97" ht="12.75" customHeight="1" x14ac:dyDescent="0.25">
      <c r="A14" s="25"/>
      <c r="B14" s="27" t="s">
        <v>34</v>
      </c>
      <c r="C14" s="27"/>
      <c r="D14" s="27"/>
      <c r="E14" s="32"/>
      <c r="F14" s="27"/>
      <c r="G14" s="26"/>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row>
    <row r="15" spans="1:97" ht="3.75" customHeight="1" x14ac:dyDescent="0.25">
      <c r="A15" s="25"/>
      <c r="B15" s="27"/>
      <c r="C15" s="27"/>
      <c r="D15" s="27"/>
      <c r="E15" s="32"/>
      <c r="F15" s="27"/>
      <c r="G15" s="26"/>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row>
    <row r="16" spans="1:97" ht="12.75" customHeight="1" x14ac:dyDescent="0.25">
      <c r="A16" s="25"/>
      <c r="B16" s="27" t="s">
        <v>35</v>
      </c>
      <c r="C16" s="27"/>
      <c r="D16" s="27"/>
      <c r="E16" s="231" t="s">
        <v>36</v>
      </c>
      <c r="F16" s="227"/>
      <c r="G16" s="26"/>
      <c r="H16" s="19"/>
      <c r="I16" s="19"/>
      <c r="J16" s="19"/>
      <c r="K16" s="218"/>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row>
    <row r="17" spans="1:97" ht="3.75" customHeight="1" x14ac:dyDescent="0.25">
      <c r="A17" s="25"/>
      <c r="B17" s="27"/>
      <c r="C17" s="27"/>
      <c r="D17" s="27"/>
      <c r="E17" s="33"/>
      <c r="F17" s="33"/>
      <c r="G17" s="26"/>
      <c r="H17" s="19"/>
      <c r="I17" s="19"/>
      <c r="J17" s="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row>
    <row r="18" spans="1:97" ht="12.75" customHeight="1" x14ac:dyDescent="0.25">
      <c r="A18" s="25"/>
      <c r="B18" s="33" t="s">
        <v>37</v>
      </c>
      <c r="C18" s="33" t="s">
        <v>38</v>
      </c>
      <c r="D18" s="220" t="s">
        <v>39</v>
      </c>
      <c r="E18" s="219"/>
      <c r="F18" s="219"/>
      <c r="G18" s="26"/>
      <c r="H18" s="19"/>
      <c r="I18" s="19"/>
      <c r="J18" s="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row>
    <row r="19" spans="1:97" ht="12.75" customHeight="1" x14ac:dyDescent="0.25">
      <c r="A19" s="25"/>
      <c r="B19" s="34" t="s">
        <v>40</v>
      </c>
      <c r="C19" s="35">
        <f>VLOOKUP($E$16,$CE$276:$CH$277,2,0)</f>
        <v>6.4999999999999997E-3</v>
      </c>
      <c r="D19" s="232" t="str">
        <f>VLOOKUP(E16,CE276:CH277,4,0)</f>
        <v>RECEITA BRUTA (VALOR DA NOTA)</v>
      </c>
      <c r="E19" s="219"/>
      <c r="F19" s="219"/>
      <c r="G19" s="26"/>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row>
    <row r="20" spans="1:97" ht="12.75" customHeight="1" x14ac:dyDescent="0.25">
      <c r="A20" s="25"/>
      <c r="B20" s="34" t="s">
        <v>41</v>
      </c>
      <c r="C20" s="35">
        <f>VLOOKUP($E$16,$CE$276:$CH$277,3,0)</f>
        <v>0.03</v>
      </c>
      <c r="D20" s="219"/>
      <c r="E20" s="219"/>
      <c r="F20" s="219"/>
      <c r="G20" s="26"/>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row>
    <row r="21" spans="1:97" ht="12.75" customHeight="1" x14ac:dyDescent="0.25">
      <c r="A21" s="25"/>
      <c r="B21" s="34"/>
      <c r="C21" s="35"/>
      <c r="D21" s="36"/>
      <c r="E21" s="36"/>
      <c r="F21" s="36"/>
      <c r="G21" s="26"/>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row>
    <row r="22" spans="1:97" ht="12.75" customHeight="1" x14ac:dyDescent="0.25">
      <c r="A22" s="25"/>
      <c r="B22" s="233" t="s">
        <v>42</v>
      </c>
      <c r="C22" s="219"/>
      <c r="D22" s="219"/>
      <c r="E22" s="219"/>
      <c r="F22" s="219"/>
      <c r="G22" s="26"/>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row>
    <row r="23" spans="1:97" ht="12.75" customHeight="1" x14ac:dyDescent="0.25">
      <c r="A23" s="25"/>
      <c r="B23" s="34"/>
      <c r="C23" s="35" t="s">
        <v>43</v>
      </c>
      <c r="D23" s="37" t="s">
        <v>44</v>
      </c>
      <c r="E23" s="19"/>
      <c r="F23" s="37" t="s">
        <v>45</v>
      </c>
      <c r="G23" s="26"/>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row>
    <row r="24" spans="1:97" ht="12.75" customHeight="1" x14ac:dyDescent="0.25">
      <c r="A24" s="25"/>
      <c r="B24" s="34" t="s">
        <v>46</v>
      </c>
      <c r="C24" s="38">
        <f>IF(C6=$BU$272,10%,30%)</f>
        <v>0.3</v>
      </c>
      <c r="D24" s="38">
        <f>IF(C6=$BU$272,16.1%,60%)</f>
        <v>0.6</v>
      </c>
      <c r="E24" s="19"/>
      <c r="F24" s="39"/>
      <c r="G24" s="26"/>
      <c r="H24" s="19"/>
      <c r="I24" s="19"/>
      <c r="J24" s="19"/>
      <c r="K24" s="30" t="str">
        <f>IF(F24&lt;&gt;"",IF(OR(F24&gt;D24,F24&lt;C24),"CORRIGIR % ADOTADO",""),"")</f>
        <v/>
      </c>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row>
    <row r="25" spans="1:97" ht="3.75" customHeight="1" x14ac:dyDescent="0.25">
      <c r="A25" s="25"/>
      <c r="B25" s="34"/>
      <c r="C25" s="35"/>
      <c r="D25" s="19"/>
      <c r="E25" s="19"/>
      <c r="F25" s="19"/>
      <c r="G25" s="26"/>
      <c r="H25" s="19"/>
      <c r="I25" s="19"/>
      <c r="J25" s="19"/>
      <c r="K25" s="40"/>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row>
    <row r="26" spans="1:97" ht="22.5" customHeight="1" x14ac:dyDescent="0.25">
      <c r="A26" s="25"/>
      <c r="B26" s="234" t="s">
        <v>47</v>
      </c>
      <c r="C26" s="219"/>
      <c r="D26" s="219"/>
      <c r="E26" s="219"/>
      <c r="F26" s="219"/>
      <c r="G26" s="26"/>
      <c r="H26" s="19"/>
      <c r="I26" s="19"/>
      <c r="J26" s="19"/>
      <c r="K26" s="40"/>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row>
    <row r="27" spans="1:97" ht="5.25" customHeight="1" x14ac:dyDescent="0.25">
      <c r="A27" s="25"/>
      <c r="B27" s="27"/>
      <c r="C27" s="27"/>
      <c r="D27" s="19"/>
      <c r="E27" s="19"/>
      <c r="F27" s="19"/>
      <c r="G27" s="26"/>
      <c r="H27" s="19"/>
      <c r="I27" s="19"/>
      <c r="J27" s="19"/>
      <c r="K27" s="40"/>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row>
    <row r="28" spans="1:97" ht="12.75" customHeight="1" x14ac:dyDescent="0.25">
      <c r="A28" s="25"/>
      <c r="B28" s="27" t="s">
        <v>48</v>
      </c>
      <c r="C28" s="27"/>
      <c r="D28" s="232" t="s">
        <v>49</v>
      </c>
      <c r="E28" s="219"/>
      <c r="F28" s="219"/>
      <c r="G28" s="26"/>
      <c r="H28" s="19"/>
      <c r="I28" s="19"/>
      <c r="J28" s="19"/>
      <c r="K28" s="40"/>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row>
    <row r="29" spans="1:97" ht="12.75" customHeight="1" x14ac:dyDescent="0.25">
      <c r="A29" s="25"/>
      <c r="B29" s="39">
        <v>0.05</v>
      </c>
      <c r="C29" s="27"/>
      <c r="D29" s="235">
        <v>0.4</v>
      </c>
      <c r="E29" s="226"/>
      <c r="F29" s="227"/>
      <c r="G29" s="26"/>
      <c r="H29" s="19"/>
      <c r="I29" s="19"/>
      <c r="J29" s="19"/>
      <c r="K29" s="40"/>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row>
    <row r="30" spans="1:97" ht="3.75" customHeight="1" x14ac:dyDescent="0.25">
      <c r="A30" s="25"/>
      <c r="B30" s="19"/>
      <c r="C30" s="27"/>
      <c r="D30" s="27" t="s">
        <v>50</v>
      </c>
      <c r="E30" s="27"/>
      <c r="F30" s="27"/>
      <c r="G30" s="26"/>
      <c r="H30" s="19"/>
      <c r="I30" s="19"/>
      <c r="J30" s="19"/>
      <c r="K30" s="40"/>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row>
    <row r="31" spans="1:97" ht="12.75" customHeight="1" x14ac:dyDescent="0.25">
      <c r="A31" s="25"/>
      <c r="B31" s="27" t="s">
        <v>51</v>
      </c>
      <c r="C31" s="35">
        <f>+B29*D29</f>
        <v>2.0000000000000004E-2</v>
      </c>
      <c r="D31" s="41"/>
      <c r="E31" s="42"/>
      <c r="F31" s="19"/>
      <c r="G31" s="26"/>
      <c r="H31" s="19"/>
      <c r="I31" s="19"/>
      <c r="J31" s="19"/>
      <c r="K31" s="40"/>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row>
    <row r="32" spans="1:97" ht="3.75" customHeight="1" x14ac:dyDescent="0.25">
      <c r="A32" s="25"/>
      <c r="B32" s="19"/>
      <c r="C32" s="35"/>
      <c r="D32" s="19"/>
      <c r="E32" s="19"/>
      <c r="F32" s="19"/>
      <c r="G32" s="26"/>
      <c r="H32" s="19"/>
      <c r="I32" s="19"/>
      <c r="J32" s="19"/>
      <c r="K32" s="40"/>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row>
    <row r="33" spans="1:97" ht="15.75" customHeight="1" x14ac:dyDescent="0.25">
      <c r="A33" s="25"/>
      <c r="B33" s="19"/>
      <c r="C33" s="19"/>
      <c r="D33" s="221" t="s">
        <v>52</v>
      </c>
      <c r="E33" s="219"/>
      <c r="F33" s="43">
        <f>VLOOKUP(E16,CE276:CI277,5,0)</f>
        <v>5.6500000000000002E-2</v>
      </c>
      <c r="G33" s="26"/>
      <c r="H33" s="19"/>
      <c r="I33" s="19"/>
      <c r="J33" s="19"/>
      <c r="K33" s="40"/>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row>
    <row r="34" spans="1:97" ht="3.75" customHeight="1" x14ac:dyDescent="0.25">
      <c r="A34" s="25"/>
      <c r="B34" s="19"/>
      <c r="C34" s="35"/>
      <c r="D34" s="19"/>
      <c r="E34" s="19"/>
      <c r="F34" s="19"/>
      <c r="G34" s="26"/>
      <c r="H34" s="19"/>
      <c r="I34" s="19"/>
      <c r="J34" s="19"/>
      <c r="K34" s="40"/>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row>
    <row r="35" spans="1:97" ht="26.25" customHeight="1" x14ac:dyDescent="0.25">
      <c r="A35" s="25"/>
      <c r="B35" s="234" t="s">
        <v>53</v>
      </c>
      <c r="C35" s="219"/>
      <c r="D35" s="219"/>
      <c r="E35" s="219"/>
      <c r="F35" s="219"/>
      <c r="G35" s="26"/>
      <c r="H35" s="19"/>
      <c r="I35" s="19"/>
      <c r="J35" s="19"/>
      <c r="K35" s="40"/>
      <c r="L35" s="19"/>
      <c r="M35" s="44"/>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row>
    <row r="36" spans="1:97" ht="3.75" customHeight="1" thickBot="1" x14ac:dyDescent="0.3">
      <c r="A36" s="45"/>
      <c r="B36" s="238"/>
      <c r="C36" s="237"/>
      <c r="D36" s="237"/>
      <c r="E36" s="237"/>
      <c r="F36" s="237"/>
      <c r="G36" s="46"/>
      <c r="H36" s="19"/>
      <c r="I36" s="19"/>
      <c r="J36" s="19"/>
      <c r="K36" s="40"/>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row>
    <row r="37" spans="1:97" ht="6.75" customHeight="1" thickBot="1" x14ac:dyDescent="0.3">
      <c r="A37" s="19"/>
      <c r="B37" s="19"/>
      <c r="C37" s="19"/>
      <c r="D37" s="19"/>
      <c r="E37" s="19"/>
      <c r="F37" s="19"/>
      <c r="G37" s="19"/>
      <c r="H37" s="19"/>
      <c r="I37" s="19"/>
      <c r="J37" s="19"/>
      <c r="K37" s="40"/>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row>
    <row r="38" spans="1:97" ht="3.75" customHeight="1" x14ac:dyDescent="0.25">
      <c r="A38" s="22"/>
      <c r="B38" s="47"/>
      <c r="C38" s="47"/>
      <c r="D38" s="47"/>
      <c r="E38" s="47"/>
      <c r="F38" s="47"/>
      <c r="G38" s="24"/>
      <c r="H38" s="19"/>
      <c r="I38" s="19"/>
      <c r="J38" s="19"/>
      <c r="K38" s="4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row>
    <row r="39" spans="1:97" ht="12.75" customHeight="1" x14ac:dyDescent="0.25">
      <c r="A39" s="25"/>
      <c r="B39" s="221" t="s">
        <v>54</v>
      </c>
      <c r="C39" s="219"/>
      <c r="D39" s="219"/>
      <c r="E39" s="219"/>
      <c r="F39" s="219"/>
      <c r="G39" s="26"/>
      <c r="H39" s="19"/>
      <c r="I39" s="19"/>
      <c r="J39" s="19"/>
      <c r="K39" s="40"/>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row>
    <row r="40" spans="1:97" ht="12.75" customHeight="1" x14ac:dyDescent="0.25">
      <c r="A40" s="25"/>
      <c r="B40" s="221"/>
      <c r="C40" s="219"/>
      <c r="D40" s="219"/>
      <c r="E40" s="219"/>
      <c r="F40" s="219"/>
      <c r="G40" s="26"/>
      <c r="H40" s="19"/>
      <c r="I40" s="19"/>
      <c r="J40" s="19"/>
      <c r="K40" s="40"/>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row>
    <row r="41" spans="1:97" ht="12.75" customHeight="1" x14ac:dyDescent="0.25">
      <c r="A41" s="25"/>
      <c r="B41" s="48" t="s">
        <v>55</v>
      </c>
      <c r="C41" s="48" t="s">
        <v>56</v>
      </c>
      <c r="D41" s="48" t="s">
        <v>57</v>
      </c>
      <c r="E41" s="48" t="s">
        <v>58</v>
      </c>
      <c r="F41" s="36" t="s">
        <v>45</v>
      </c>
      <c r="G41" s="26"/>
      <c r="H41" s="19"/>
      <c r="I41" s="49" t="s">
        <v>59</v>
      </c>
      <c r="J41" s="19"/>
      <c r="K41" s="40"/>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row>
    <row r="42" spans="1:97" ht="12.75" customHeight="1" x14ac:dyDescent="0.25">
      <c r="A42" s="25"/>
      <c r="B42" s="50" t="s">
        <v>60</v>
      </c>
      <c r="C42" s="51">
        <f t="shared" ref="C42:E46" si="0">BV306</f>
        <v>0.03</v>
      </c>
      <c r="D42" s="51">
        <f t="shared" si="0"/>
        <v>0.04</v>
      </c>
      <c r="E42" s="51">
        <f t="shared" si="0"/>
        <v>5.5E-2</v>
      </c>
      <c r="F42" s="52">
        <v>0.04</v>
      </c>
      <c r="G42" s="53"/>
      <c r="H42" s="44"/>
      <c r="I42" s="44">
        <f>TRUNC(F42,4)</f>
        <v>0.04</v>
      </c>
      <c r="J42" s="19"/>
      <c r="K42" s="30" t="str">
        <f>IF(F42&lt;&gt;"",IF(OR(F42&gt;E42,F42&lt;C42),"CORRIGIR % ADOTADO",""),"")</f>
        <v/>
      </c>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row>
    <row r="43" spans="1:97" ht="12.75" customHeight="1" x14ac:dyDescent="0.25">
      <c r="A43" s="25"/>
      <c r="B43" s="50" t="s">
        <v>61</v>
      </c>
      <c r="C43" s="51">
        <f t="shared" si="0"/>
        <v>8.0000000000000002E-3</v>
      </c>
      <c r="D43" s="51">
        <f t="shared" si="0"/>
        <v>8.0000000000000002E-3</v>
      </c>
      <c r="E43" s="51">
        <f t="shared" si="0"/>
        <v>0.01</v>
      </c>
      <c r="F43" s="54">
        <v>8.0000000000000002E-3</v>
      </c>
      <c r="G43" s="53"/>
      <c r="H43" s="44"/>
      <c r="I43" s="44">
        <f>TRUNC(F43,4)</f>
        <v>8.0000000000000002E-3</v>
      </c>
      <c r="J43" s="19"/>
      <c r="K43" s="30" t="str">
        <f>IF(F43&lt;&gt;"",IF(OR(F43&gt;E43,F43&lt;C43),"CORRIGIR % ADOTADO",""),"")</f>
        <v/>
      </c>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row>
    <row r="44" spans="1:97" ht="12.75" customHeight="1" x14ac:dyDescent="0.25">
      <c r="A44" s="25"/>
      <c r="B44" s="50" t="s">
        <v>62</v>
      </c>
      <c r="C44" s="51">
        <f t="shared" si="0"/>
        <v>9.7000000000000003E-3</v>
      </c>
      <c r="D44" s="51">
        <f t="shared" si="0"/>
        <v>1.2699999999999999E-2</v>
      </c>
      <c r="E44" s="51">
        <f t="shared" si="0"/>
        <v>1.2699999999999999E-2</v>
      </c>
      <c r="F44" s="54">
        <v>1.2699999999999999E-2</v>
      </c>
      <c r="G44" s="53"/>
      <c r="H44" s="44"/>
      <c r="I44" s="44">
        <f>TRUNC(F44,4)</f>
        <v>1.2699999999999999E-2</v>
      </c>
      <c r="J44" s="19"/>
      <c r="K44" s="30" t="str">
        <f>IF(F44&lt;&gt;"",IF(OR(F44&gt;E44,F44&lt;C44),"CORRIGIR % ADOTADO",""),"")</f>
        <v/>
      </c>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row>
    <row r="45" spans="1:97" ht="12.75" customHeight="1" x14ac:dyDescent="0.25">
      <c r="A45" s="25"/>
      <c r="B45" s="50" t="s">
        <v>63</v>
      </c>
      <c r="C45" s="51">
        <f t="shared" si="0"/>
        <v>5.8999999999999999E-3</v>
      </c>
      <c r="D45" s="51">
        <f t="shared" si="0"/>
        <v>1.23E-2</v>
      </c>
      <c r="E45" s="51">
        <f t="shared" si="0"/>
        <v>1.3899999999999999E-2</v>
      </c>
      <c r="F45" s="54">
        <v>0.01</v>
      </c>
      <c r="G45" s="53"/>
      <c r="H45" s="44"/>
      <c r="I45" s="44">
        <f>TRUNC(F45,4)</f>
        <v>0.01</v>
      </c>
      <c r="J45" s="19"/>
      <c r="K45" s="30" t="str">
        <f>IF(F45&lt;&gt;"",IF(OR(F45&gt;E45,F45&lt;C45),"CORRIGIR % ADOTADO",""),"")</f>
        <v/>
      </c>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row>
    <row r="46" spans="1:97" ht="12.75" customHeight="1" x14ac:dyDescent="0.25">
      <c r="A46" s="25"/>
      <c r="B46" s="50" t="s">
        <v>64</v>
      </c>
      <c r="C46" s="51">
        <f t="shared" si="0"/>
        <v>6.1600000000000002E-2</v>
      </c>
      <c r="D46" s="51">
        <f t="shared" si="0"/>
        <v>7.3999999999999996E-2</v>
      </c>
      <c r="E46" s="51">
        <f t="shared" si="0"/>
        <v>8.9599999999999999E-2</v>
      </c>
      <c r="F46" s="55">
        <v>7.7600000000000002E-2</v>
      </c>
      <c r="G46" s="53"/>
      <c r="H46" s="44"/>
      <c r="I46" s="44">
        <f>TRUNC(F46,4)</f>
        <v>7.7600000000000002E-2</v>
      </c>
      <c r="J46" s="19"/>
      <c r="K46" s="30" t="str">
        <f>IF(F46&lt;&gt;"",IF(OR(F46&gt;E46,F46&lt;C46),"CORRIGIR % ADOTADO",""),"")</f>
        <v/>
      </c>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row>
    <row r="47" spans="1:97" ht="3.75" customHeight="1" x14ac:dyDescent="0.25">
      <c r="A47" s="25"/>
      <c r="B47" s="50"/>
      <c r="C47" s="51"/>
      <c r="D47" s="51"/>
      <c r="E47" s="51"/>
      <c r="F47" s="19"/>
      <c r="G47" s="53"/>
      <c r="H47" s="44"/>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row>
    <row r="48" spans="1:97" ht="12.75" customHeight="1" x14ac:dyDescent="0.25">
      <c r="A48" s="25"/>
      <c r="B48" s="56" t="s">
        <v>65</v>
      </c>
      <c r="C48" s="51"/>
      <c r="D48" s="51"/>
      <c r="E48" s="51"/>
      <c r="F48" s="57">
        <f>F33</f>
        <v>5.6500000000000002E-2</v>
      </c>
      <c r="G48" s="53"/>
      <c r="H48" s="44"/>
      <c r="I48" s="58">
        <f>TRUNC(F48,5)</f>
        <v>5.6500000000000002E-2</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row>
    <row r="49" spans="1:97" ht="3.75" customHeight="1" x14ac:dyDescent="0.25">
      <c r="A49" s="25"/>
      <c r="B49" s="56"/>
      <c r="C49" s="51"/>
      <c r="D49" s="51"/>
      <c r="E49" s="51"/>
      <c r="F49" s="57"/>
      <c r="G49" s="53"/>
      <c r="H49" s="44"/>
      <c r="I49" s="58"/>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row>
    <row r="50" spans="1:97" ht="3.75" customHeight="1" x14ac:dyDescent="0.25">
      <c r="A50" s="25"/>
      <c r="B50" s="19"/>
      <c r="C50" s="19"/>
      <c r="D50" s="19"/>
      <c r="E50" s="19"/>
      <c r="F50" s="19"/>
      <c r="G50" s="53"/>
      <c r="H50" s="44"/>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row>
    <row r="51" spans="1:97" ht="12.75" customHeight="1" x14ac:dyDescent="0.25">
      <c r="A51" s="25"/>
      <c r="B51" s="19"/>
      <c r="C51" s="19"/>
      <c r="D51" s="19"/>
      <c r="E51" s="19"/>
      <c r="F51" s="19"/>
      <c r="G51" s="26"/>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row>
    <row r="52" spans="1:97" ht="12.75" customHeight="1" x14ac:dyDescent="0.25">
      <c r="A52" s="25"/>
      <c r="B52" s="19"/>
      <c r="C52" s="19"/>
      <c r="D52" s="19"/>
      <c r="E52" s="19"/>
      <c r="F52" s="19"/>
      <c r="G52" s="26"/>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row>
    <row r="53" spans="1:97" ht="12.75" customHeight="1" x14ac:dyDescent="0.25">
      <c r="A53" s="25"/>
      <c r="B53" s="19"/>
      <c r="C53" s="19"/>
      <c r="D53" s="19"/>
      <c r="E53" s="19"/>
      <c r="F53" s="19"/>
      <c r="G53" s="26"/>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row>
    <row r="54" spans="1:97" ht="3.75" customHeight="1" x14ac:dyDescent="0.25">
      <c r="A54" s="25"/>
      <c r="B54" s="19"/>
      <c r="C54" s="19"/>
      <c r="D54" s="19"/>
      <c r="E54" s="19"/>
      <c r="F54" s="19"/>
      <c r="G54" s="26"/>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row>
    <row r="55" spans="1:97" ht="15.75" customHeight="1" x14ac:dyDescent="0.25">
      <c r="A55" s="25"/>
      <c r="B55" s="59" t="s">
        <v>66</v>
      </c>
      <c r="C55" s="19"/>
      <c r="D55" s="19"/>
      <c r="E55" s="239">
        <f>TRUNC((((1+I42+I43+I44)*(1+I45)*(1+I46))/(1-I48))-1,4)</f>
        <v>0.2235</v>
      </c>
      <c r="F55" s="219"/>
      <c r="G55" s="26"/>
      <c r="H55" s="19"/>
      <c r="I55" s="19"/>
      <c r="J55" s="19"/>
      <c r="K55" s="60" t="str">
        <f>IF(F8="SIM","PARA SIMPLES CONFERÊNCIA","")</f>
        <v>PARA SIMPLES CONFERÊNCIA</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row>
    <row r="56" spans="1:97" ht="3.75" customHeight="1" thickBot="1" x14ac:dyDescent="0.3">
      <c r="A56" s="25"/>
      <c r="B56" s="59"/>
      <c r="C56" s="19"/>
      <c r="D56" s="19"/>
      <c r="E56" s="61"/>
      <c r="F56" s="61"/>
      <c r="G56" s="26"/>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row>
    <row r="57" spans="1:97" ht="21.75" customHeight="1" thickTop="1" thickBot="1" x14ac:dyDescent="0.35">
      <c r="A57" s="25"/>
      <c r="B57" s="240" t="str">
        <f>IF(E55&lt;C60,"ERRO - BDI INFERIOR AO 1º QUARTIL",IF(E55&gt;E60,"ERRO - BDI SUPERIOR AO 3º QUARTIL","BDI CONFORME"))</f>
        <v>BDI CONFORME</v>
      </c>
      <c r="C57" s="223"/>
      <c r="D57" s="223"/>
      <c r="E57" s="223"/>
      <c r="F57" s="241"/>
      <c r="G57" s="26"/>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row>
    <row r="58" spans="1:97" ht="3.75" customHeight="1" thickTop="1" x14ac:dyDescent="0.25">
      <c r="A58" s="25"/>
      <c r="B58" s="62"/>
      <c r="C58" s="62"/>
      <c r="D58" s="62"/>
      <c r="E58" s="62"/>
      <c r="F58" s="62"/>
      <c r="G58" s="26"/>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row>
    <row r="59" spans="1:97" ht="12.75" customHeight="1" x14ac:dyDescent="0.25">
      <c r="A59" s="25"/>
      <c r="B59" s="19"/>
      <c r="C59" s="48" t="s">
        <v>56</v>
      </c>
      <c r="D59" s="48" t="s">
        <v>57</v>
      </c>
      <c r="E59" s="48" t="s">
        <v>58</v>
      </c>
      <c r="F59" s="19"/>
      <c r="G59" s="26"/>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row>
    <row r="60" spans="1:97" ht="12.75" customHeight="1" x14ac:dyDescent="0.25">
      <c r="A60" s="25"/>
      <c r="B60" s="56" t="s">
        <v>67</v>
      </c>
      <c r="C60" s="51">
        <f>BV305</f>
        <v>0.2034</v>
      </c>
      <c r="D60" s="51">
        <f>BW305</f>
        <v>0.22120000000000001</v>
      </c>
      <c r="E60" s="51">
        <f>BX305</f>
        <v>0.25</v>
      </c>
      <c r="F60" s="19"/>
      <c r="G60" s="26"/>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row>
    <row r="61" spans="1:97" ht="3.75" customHeight="1" x14ac:dyDescent="0.25">
      <c r="A61" s="25"/>
      <c r="B61" s="56"/>
      <c r="C61" s="51"/>
      <c r="D61" s="51"/>
      <c r="E61" s="51"/>
      <c r="F61" s="19"/>
      <c r="G61" s="26"/>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row>
    <row r="62" spans="1:97" ht="12.75" customHeight="1" x14ac:dyDescent="0.25">
      <c r="A62" s="25"/>
      <c r="B62" s="221" t="s">
        <v>68</v>
      </c>
      <c r="C62" s="219"/>
      <c r="D62" s="219"/>
      <c r="E62" s="219"/>
      <c r="F62" s="219"/>
      <c r="G62" s="26"/>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row>
    <row r="63" spans="1:97" ht="3.75" customHeight="1" thickBot="1" x14ac:dyDescent="0.3">
      <c r="A63" s="25"/>
      <c r="B63" s="34"/>
      <c r="C63" s="34"/>
      <c r="D63" s="34"/>
      <c r="E63" s="34"/>
      <c r="F63" s="34"/>
      <c r="G63" s="26"/>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row>
    <row r="64" spans="1:97" ht="37.5" customHeight="1" thickTop="1" thickBot="1" x14ac:dyDescent="0.3">
      <c r="A64" s="25"/>
      <c r="B64" s="242" t="s">
        <v>69</v>
      </c>
      <c r="C64" s="219"/>
      <c r="D64" s="219"/>
      <c r="E64" s="243">
        <f>TRUNC((((1+I42+I43+I44)*(1+I45)*(1+I46))/(1-I66))-1,4)</f>
        <v>0.25</v>
      </c>
      <c r="F64" s="244"/>
      <c r="G64" s="26"/>
      <c r="H64" s="19"/>
      <c r="I64" s="19"/>
      <c r="J64" s="19"/>
      <c r="K64" s="27" t="str">
        <f>IF(F8="SIM","UTILIZAR BDI C/ DESONERAÇÃO","")</f>
        <v>UTILIZAR BDI C/ DESONERAÇÃO</v>
      </c>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row>
    <row r="65" spans="1:97" ht="3.75" customHeight="1" thickTop="1" x14ac:dyDescent="0.25">
      <c r="A65" s="25"/>
      <c r="B65" s="56"/>
      <c r="C65" s="51"/>
      <c r="D65" s="51"/>
      <c r="E65" s="51"/>
      <c r="F65" s="19"/>
      <c r="G65" s="26"/>
      <c r="H65" s="19"/>
      <c r="I65" s="19"/>
      <c r="J65" s="19"/>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row>
    <row r="66" spans="1:97" ht="15.75" customHeight="1" x14ac:dyDescent="0.25">
      <c r="A66" s="25"/>
      <c r="B66" s="60" t="s">
        <v>70</v>
      </c>
      <c r="C66" s="35">
        <f>IF(F8="SIM",2%,0%)</f>
        <v>0.02</v>
      </c>
      <c r="D66" s="221" t="s">
        <v>52</v>
      </c>
      <c r="E66" s="219"/>
      <c r="F66" s="43">
        <f>+F33+C66</f>
        <v>7.6499999999999999E-2</v>
      </c>
      <c r="G66" s="26"/>
      <c r="H66" s="19"/>
      <c r="I66" s="58">
        <f>TRUNC(F66,5)</f>
        <v>7.6499999999999999E-2</v>
      </c>
      <c r="J66" s="19"/>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row>
    <row r="67" spans="1:97" ht="3.75" customHeight="1" thickBot="1" x14ac:dyDescent="0.3">
      <c r="A67" s="45"/>
      <c r="B67" s="64"/>
      <c r="C67" s="65"/>
      <c r="D67" s="65"/>
      <c r="E67" s="65"/>
      <c r="F67" s="66"/>
      <c r="G67" s="46"/>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row>
    <row r="68" spans="1:97" ht="12.7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row>
    <row r="69" spans="1:97" ht="12.7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row>
    <row r="70" spans="1:97" ht="12.7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row>
    <row r="71" spans="1:97" ht="12.75" customHeight="1" x14ac:dyDescent="0.25">
      <c r="A71" s="19"/>
      <c r="B71" s="19"/>
      <c r="C71" s="19"/>
      <c r="D71" s="19"/>
      <c r="E71" s="19"/>
      <c r="F71" s="19"/>
      <c r="G71" s="19"/>
      <c r="H71" s="19"/>
      <c r="I71" s="37"/>
      <c r="J71" s="37"/>
      <c r="K71" s="37"/>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row>
    <row r="72" spans="1:97" ht="12.75" customHeight="1" x14ac:dyDescent="0.25">
      <c r="A72" s="19"/>
      <c r="B72" s="19"/>
      <c r="C72" s="19"/>
      <c r="D72" s="19"/>
      <c r="E72" s="19"/>
      <c r="F72" s="19"/>
      <c r="G72" s="19"/>
      <c r="H72" s="19"/>
      <c r="I72" s="38"/>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row>
    <row r="73" spans="1:97" ht="12.75" customHeight="1" x14ac:dyDescent="0.25">
      <c r="A73" s="19"/>
      <c r="B73" s="19"/>
      <c r="C73" s="19"/>
      <c r="D73" s="19"/>
      <c r="E73" s="19"/>
      <c r="F73" s="19"/>
      <c r="G73" s="19"/>
      <c r="H73" s="19"/>
      <c r="I73" s="38"/>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row>
    <row r="74" spans="1:97" ht="12.75" customHeight="1" x14ac:dyDescent="0.25">
      <c r="A74" s="19"/>
      <c r="B74" s="19"/>
      <c r="C74" s="19"/>
      <c r="D74" s="19"/>
      <c r="E74" s="19"/>
      <c r="F74" s="19"/>
      <c r="G74" s="19"/>
      <c r="H74" s="19"/>
      <c r="I74" s="38"/>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row>
    <row r="75" spans="1:97" ht="12.75" customHeight="1" x14ac:dyDescent="0.25">
      <c r="A75" s="19"/>
      <c r="B75" s="19"/>
      <c r="C75" s="19"/>
      <c r="D75" s="19"/>
      <c r="E75" s="19"/>
      <c r="F75" s="19"/>
      <c r="G75" s="19"/>
      <c r="H75" s="19"/>
      <c r="I75" s="67"/>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row>
    <row r="76" spans="1:97" ht="12.75" customHeight="1" x14ac:dyDescent="0.25">
      <c r="A76" s="19"/>
      <c r="B76" s="19"/>
      <c r="C76" s="19"/>
      <c r="D76" s="19"/>
      <c r="E76" s="19"/>
      <c r="F76" s="19"/>
      <c r="G76" s="19"/>
      <c r="H76" s="19"/>
      <c r="I76" s="38"/>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row>
    <row r="77" spans="1:97" ht="12.75" customHeight="1" x14ac:dyDescent="0.25">
      <c r="A77" s="19"/>
      <c r="B77" s="19"/>
      <c r="C77" s="19"/>
      <c r="D77" s="19"/>
      <c r="E77" s="19"/>
      <c r="F77" s="19"/>
      <c r="G77" s="19"/>
      <c r="H77" s="19"/>
      <c r="I77" s="3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row>
    <row r="78" spans="1:97" ht="12.75" customHeight="1" x14ac:dyDescent="0.25">
      <c r="A78" s="19"/>
      <c r="B78" s="19"/>
      <c r="C78" s="19"/>
      <c r="D78" s="19"/>
      <c r="E78" s="19"/>
      <c r="F78" s="19"/>
      <c r="G78" s="19"/>
      <c r="H78" s="19"/>
      <c r="I78" s="3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row>
    <row r="79" spans="1:97" ht="12.75" customHeight="1" x14ac:dyDescent="0.25">
      <c r="A79" s="19"/>
      <c r="B79" s="19"/>
      <c r="C79" s="19"/>
      <c r="D79" s="19"/>
      <c r="E79" s="19"/>
      <c r="F79" s="19"/>
      <c r="G79" s="19"/>
      <c r="H79" s="19"/>
      <c r="I79" s="38"/>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row>
    <row r="80" spans="1:97" ht="12.75" customHeight="1" x14ac:dyDescent="0.25">
      <c r="A80" s="19"/>
      <c r="B80" s="19"/>
      <c r="C80" s="19"/>
      <c r="D80" s="19"/>
      <c r="E80" s="19"/>
      <c r="F80" s="19"/>
      <c r="G80" s="19"/>
      <c r="H80" s="19"/>
      <c r="I80" s="38"/>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row>
    <row r="81" spans="1:97" ht="12.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row>
    <row r="82" spans="1:97" ht="12.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row>
    <row r="83" spans="1:97" ht="12.75" customHeight="1" x14ac:dyDescent="0.25">
      <c r="A83" s="19"/>
      <c r="B83" s="19"/>
      <c r="C83" s="19"/>
      <c r="D83" s="19"/>
      <c r="E83" s="19"/>
      <c r="F83" s="19"/>
      <c r="G83" s="19"/>
      <c r="H83" s="19"/>
      <c r="I83" s="37"/>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row>
    <row r="84" spans="1:97" ht="12.75" customHeight="1" x14ac:dyDescent="0.25">
      <c r="A84" s="19"/>
      <c r="B84" s="19"/>
      <c r="C84" s="19"/>
      <c r="D84" s="19"/>
      <c r="E84" s="19"/>
      <c r="F84" s="19"/>
      <c r="G84" s="19"/>
      <c r="H84" s="19"/>
      <c r="I84" s="44"/>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row>
    <row r="85" spans="1:97" ht="12.75" customHeight="1" x14ac:dyDescent="0.25">
      <c r="A85" s="19"/>
      <c r="B85" s="19"/>
      <c r="C85" s="19"/>
      <c r="D85" s="19"/>
      <c r="E85" s="19"/>
      <c r="F85" s="19"/>
      <c r="G85" s="19"/>
      <c r="H85" s="19"/>
      <c r="I85" s="44"/>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row>
    <row r="86" spans="1:97" ht="12.75" customHeight="1" x14ac:dyDescent="0.25">
      <c r="A86" s="19"/>
      <c r="B86" s="19"/>
      <c r="C86" s="19"/>
      <c r="D86" s="19"/>
      <c r="E86" s="19"/>
      <c r="F86" s="19"/>
      <c r="G86" s="19"/>
      <c r="H86" s="19"/>
      <c r="I86" s="44"/>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row>
    <row r="87" spans="1:97" ht="12.75" customHeight="1" x14ac:dyDescent="0.25">
      <c r="A87" s="19"/>
      <c r="B87" s="19"/>
      <c r="C87" s="19"/>
      <c r="D87" s="19"/>
      <c r="E87" s="19"/>
      <c r="F87" s="19"/>
      <c r="G87" s="19"/>
      <c r="H87" s="19"/>
      <c r="I87" s="44"/>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row>
    <row r="88" spans="1:97" ht="12.75" customHeight="1" x14ac:dyDescent="0.25">
      <c r="A88" s="19"/>
      <c r="B88" s="19"/>
      <c r="C88" s="19"/>
      <c r="D88" s="19"/>
      <c r="E88" s="19"/>
      <c r="F88" s="19"/>
      <c r="G88" s="19"/>
      <c r="H88" s="19"/>
      <c r="I88" s="44"/>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row>
    <row r="89" spans="1:97" ht="12.75" customHeight="1" x14ac:dyDescent="0.25">
      <c r="A89" s="19"/>
      <c r="B89" s="19"/>
      <c r="C89" s="19"/>
      <c r="D89" s="19"/>
      <c r="E89" s="19"/>
      <c r="F89" s="19"/>
      <c r="G89" s="19"/>
      <c r="H89" s="19"/>
      <c r="I89" s="44"/>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row>
    <row r="90" spans="1:97" ht="12.75" customHeight="1" x14ac:dyDescent="0.25">
      <c r="A90" s="19"/>
      <c r="B90" s="19"/>
      <c r="C90" s="19"/>
      <c r="D90" s="19"/>
      <c r="E90" s="19"/>
      <c r="F90" s="19"/>
      <c r="G90" s="19"/>
      <c r="H90" s="19"/>
      <c r="I90" s="44"/>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row>
    <row r="91" spans="1:97" ht="12.75" customHeight="1" x14ac:dyDescent="0.25">
      <c r="A91" s="19"/>
      <c r="B91" s="19"/>
      <c r="C91" s="19"/>
      <c r="D91" s="19"/>
      <c r="E91" s="19"/>
      <c r="F91" s="19"/>
      <c r="G91" s="19"/>
      <c r="H91" s="19"/>
      <c r="I91" s="44"/>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row>
    <row r="92" spans="1:97" ht="12.75" customHeight="1" x14ac:dyDescent="0.25">
      <c r="A92" s="19"/>
      <c r="B92" s="19"/>
      <c r="C92" s="19"/>
      <c r="D92" s="19"/>
      <c r="E92" s="19"/>
      <c r="F92" s="19"/>
      <c r="G92" s="19"/>
      <c r="H92" s="19"/>
      <c r="I92" s="44"/>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row>
    <row r="93" spans="1:97" ht="12.75" customHeight="1" x14ac:dyDescent="0.25">
      <c r="A93" s="19"/>
      <c r="B93" s="19"/>
      <c r="C93" s="19"/>
      <c r="D93" s="19"/>
      <c r="E93" s="19"/>
      <c r="F93" s="19"/>
      <c r="G93" s="19"/>
      <c r="H93" s="19"/>
      <c r="I93" s="68"/>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row>
    <row r="94" spans="1:97" ht="12.75" customHeight="1" x14ac:dyDescent="0.25">
      <c r="A94" s="19"/>
      <c r="B94" s="19"/>
      <c r="C94" s="19"/>
      <c r="D94" s="19"/>
      <c r="E94" s="19"/>
      <c r="F94" s="19"/>
      <c r="G94" s="19"/>
      <c r="H94" s="19"/>
      <c r="I94" s="68"/>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row>
    <row r="95" spans="1:97" ht="12.75" customHeight="1" x14ac:dyDescent="0.25">
      <c r="A95" s="19"/>
      <c r="B95" s="19"/>
      <c r="C95" s="19"/>
      <c r="D95" s="19"/>
      <c r="E95" s="19"/>
      <c r="F95" s="19"/>
      <c r="G95" s="19"/>
      <c r="H95" s="19"/>
      <c r="I95" s="68"/>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row>
    <row r="96" spans="1:97"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row>
    <row r="97" spans="1:97"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row>
    <row r="98" spans="1:97"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row>
    <row r="99" spans="1:97" ht="12.75" customHeight="1" x14ac:dyDescent="0.25">
      <c r="A99" s="19"/>
      <c r="B99" s="19"/>
      <c r="C99" s="19"/>
      <c r="D99" s="19"/>
      <c r="E99" s="19"/>
      <c r="F99" s="19"/>
      <c r="G99" s="19"/>
      <c r="H99" s="19"/>
      <c r="I99" s="19"/>
      <c r="J99" s="19"/>
      <c r="K99" s="19"/>
      <c r="L99" s="19"/>
      <c r="M99" s="19"/>
      <c r="N99" s="44"/>
      <c r="O99" s="44"/>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row>
    <row r="100" spans="1:97" ht="12.75" customHeight="1" x14ac:dyDescent="0.25">
      <c r="A100" s="19"/>
      <c r="B100" s="19"/>
      <c r="C100" s="19"/>
      <c r="D100" s="19"/>
      <c r="E100" s="19"/>
      <c r="F100" s="19"/>
      <c r="G100" s="19"/>
      <c r="H100" s="19"/>
      <c r="I100" s="19"/>
      <c r="J100" s="19"/>
      <c r="K100" s="19"/>
      <c r="L100" s="19"/>
      <c r="M100" s="19"/>
      <c r="N100" s="44"/>
      <c r="O100" s="44"/>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row>
    <row r="101" spans="1:97" ht="12.75" customHeight="1" x14ac:dyDescent="0.25">
      <c r="A101" s="19"/>
      <c r="B101" s="19"/>
      <c r="C101" s="19"/>
      <c r="D101" s="19"/>
      <c r="E101" s="19"/>
      <c r="F101" s="19"/>
      <c r="G101" s="19"/>
      <c r="H101" s="19"/>
      <c r="I101" s="19"/>
      <c r="J101" s="19"/>
      <c r="K101" s="19"/>
      <c r="L101" s="19"/>
      <c r="M101" s="19"/>
      <c r="N101" s="44"/>
      <c r="O101" s="44"/>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row>
    <row r="102" spans="1:97" ht="12.75" customHeight="1" x14ac:dyDescent="0.25">
      <c r="A102" s="19"/>
      <c r="B102" s="19"/>
      <c r="C102" s="19"/>
      <c r="D102" s="19"/>
      <c r="E102" s="19"/>
      <c r="F102" s="19"/>
      <c r="G102" s="19"/>
      <c r="H102" s="19"/>
      <c r="I102" s="19"/>
      <c r="J102" s="19"/>
      <c r="K102" s="19"/>
      <c r="L102" s="19"/>
      <c r="M102" s="19"/>
      <c r="N102" s="44"/>
      <c r="O102" s="44"/>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row>
    <row r="103" spans="1:97" ht="12.75" customHeight="1" x14ac:dyDescent="0.25">
      <c r="A103" s="19"/>
      <c r="B103" s="19"/>
      <c r="C103" s="19"/>
      <c r="D103" s="19"/>
      <c r="E103" s="19"/>
      <c r="F103" s="19"/>
      <c r="G103" s="19"/>
      <c r="H103" s="19"/>
      <c r="I103" s="19"/>
      <c r="J103" s="19"/>
      <c r="K103" s="19"/>
      <c r="L103" s="19"/>
      <c r="M103" s="19"/>
      <c r="N103" s="44"/>
      <c r="O103" s="44"/>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row>
    <row r="104" spans="1:97" ht="12.75" customHeight="1" x14ac:dyDescent="0.25">
      <c r="A104" s="19"/>
      <c r="B104" s="19"/>
      <c r="C104" s="19"/>
      <c r="D104" s="19"/>
      <c r="E104" s="19"/>
      <c r="F104" s="19"/>
      <c r="G104" s="19"/>
      <c r="H104" s="19"/>
      <c r="I104" s="19"/>
      <c r="J104" s="19"/>
      <c r="K104" s="19"/>
      <c r="L104" s="19"/>
      <c r="M104" s="19"/>
      <c r="N104" s="44"/>
      <c r="O104" s="44"/>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row>
    <row r="105" spans="1:97" ht="12.75" customHeight="1" x14ac:dyDescent="0.25">
      <c r="A105" s="19"/>
      <c r="B105" s="19"/>
      <c r="C105" s="19"/>
      <c r="D105" s="19"/>
      <c r="E105" s="19"/>
      <c r="F105" s="19"/>
      <c r="G105" s="19"/>
      <c r="H105" s="19"/>
      <c r="I105" s="19"/>
      <c r="J105" s="19"/>
      <c r="K105" s="19"/>
      <c r="L105" s="19"/>
      <c r="M105" s="19"/>
      <c r="N105" s="44"/>
      <c r="O105" s="44"/>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row>
    <row r="106" spans="1:97" ht="12.75" customHeight="1" x14ac:dyDescent="0.25">
      <c r="A106" s="19"/>
      <c r="B106" s="19"/>
      <c r="C106" s="19"/>
      <c r="D106" s="19"/>
      <c r="E106" s="19"/>
      <c r="F106" s="19"/>
      <c r="G106" s="19"/>
      <c r="H106" s="19"/>
      <c r="I106" s="19"/>
      <c r="J106" s="19"/>
      <c r="K106" s="19"/>
      <c r="L106" s="19"/>
      <c r="M106" s="19"/>
      <c r="N106" s="44"/>
      <c r="O106" s="44"/>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row>
    <row r="107" spans="1:97" ht="12.75" customHeight="1" x14ac:dyDescent="0.25">
      <c r="A107" s="19"/>
      <c r="B107" s="19"/>
      <c r="C107" s="19"/>
      <c r="D107" s="19"/>
      <c r="E107" s="19"/>
      <c r="F107" s="19"/>
      <c r="G107" s="19"/>
      <c r="H107" s="19"/>
      <c r="I107" s="19"/>
      <c r="J107" s="19"/>
      <c r="K107" s="19"/>
      <c r="L107" s="19"/>
      <c r="M107" s="19"/>
      <c r="N107" s="44"/>
      <c r="O107" s="44"/>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row>
    <row r="108" spans="1:97" ht="12.75" customHeight="1" x14ac:dyDescent="0.25">
      <c r="A108" s="19"/>
      <c r="B108" s="19"/>
      <c r="C108" s="19"/>
      <c r="D108" s="19"/>
      <c r="E108" s="19"/>
      <c r="F108" s="19"/>
      <c r="G108" s="19"/>
      <c r="H108" s="19"/>
      <c r="I108" s="19"/>
      <c r="J108" s="19"/>
      <c r="K108" s="19"/>
      <c r="L108" s="19"/>
      <c r="M108" s="19"/>
      <c r="N108" s="44"/>
      <c r="O108" s="44"/>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row>
    <row r="109" spans="1:97" ht="12.75" customHeight="1" x14ac:dyDescent="0.25">
      <c r="A109" s="19"/>
      <c r="B109" s="19"/>
      <c r="C109" s="19"/>
      <c r="D109" s="19"/>
      <c r="E109" s="19"/>
      <c r="F109" s="19"/>
      <c r="G109" s="19"/>
      <c r="H109" s="19"/>
      <c r="I109" s="19"/>
      <c r="J109" s="19"/>
      <c r="K109" s="19"/>
      <c r="L109" s="19"/>
      <c r="M109" s="19"/>
      <c r="N109" s="44"/>
      <c r="O109" s="44"/>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row>
    <row r="110" spans="1:97" ht="12.75" customHeight="1" x14ac:dyDescent="0.25">
      <c r="A110" s="19"/>
      <c r="B110" s="19"/>
      <c r="C110" s="19"/>
      <c r="D110" s="19"/>
      <c r="E110" s="19"/>
      <c r="F110" s="19"/>
      <c r="G110" s="19"/>
      <c r="H110" s="19"/>
      <c r="I110" s="19"/>
      <c r="J110" s="19"/>
      <c r="K110" s="19"/>
      <c r="L110" s="19"/>
      <c r="M110" s="19"/>
      <c r="N110" s="44"/>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row>
    <row r="111" spans="1:97" ht="12.75" customHeight="1" x14ac:dyDescent="0.25">
      <c r="A111" s="19"/>
      <c r="B111" s="19"/>
      <c r="C111" s="19"/>
      <c r="D111" s="19"/>
      <c r="E111" s="19"/>
      <c r="F111" s="19"/>
      <c r="G111" s="19"/>
      <c r="H111" s="19"/>
      <c r="I111" s="19"/>
      <c r="J111" s="19"/>
      <c r="K111" s="19"/>
      <c r="L111" s="19"/>
      <c r="M111" s="19"/>
      <c r="N111" s="44"/>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row>
    <row r="112" spans="1:97" ht="12.75" customHeight="1" x14ac:dyDescent="0.25">
      <c r="A112" s="19"/>
      <c r="B112" s="19"/>
      <c r="C112" s="19"/>
      <c r="D112" s="19"/>
      <c r="E112" s="19"/>
      <c r="F112" s="19"/>
      <c r="G112" s="19"/>
      <c r="H112" s="19"/>
      <c r="I112" s="19"/>
      <c r="J112" s="19"/>
      <c r="K112" s="19"/>
      <c r="L112" s="19"/>
      <c r="M112" s="19"/>
      <c r="N112" s="44"/>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row>
    <row r="113" spans="1:97" ht="12.75" customHeight="1" x14ac:dyDescent="0.25">
      <c r="A113" s="19"/>
      <c r="B113" s="19"/>
      <c r="C113" s="19"/>
      <c r="D113" s="19"/>
      <c r="E113" s="19"/>
      <c r="F113" s="19"/>
      <c r="G113" s="19"/>
      <c r="H113" s="19"/>
      <c r="I113" s="19"/>
      <c r="J113" s="19"/>
      <c r="K113" s="19"/>
      <c r="L113" s="19"/>
      <c r="M113" s="19"/>
      <c r="N113" s="44"/>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row>
    <row r="114" spans="1:97"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row>
    <row r="115" spans="1:97"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row>
    <row r="116" spans="1:97"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row>
    <row r="117" spans="1:97"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row>
    <row r="118" spans="1:97"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row>
    <row r="119" spans="1:97"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row>
    <row r="120" spans="1:97"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row>
    <row r="121" spans="1:97"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row>
    <row r="122" spans="1:97"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row>
    <row r="123" spans="1:97"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row>
    <row r="124" spans="1:97"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row>
    <row r="125" spans="1:97"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row>
    <row r="126" spans="1:97"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row>
    <row r="127" spans="1:97"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row>
    <row r="128" spans="1:97"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row>
    <row r="129" spans="1:97"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row>
    <row r="130" spans="1:97"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row>
    <row r="131" spans="1:97"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row>
    <row r="132" spans="1:97"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row>
    <row r="133" spans="1:97"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row>
    <row r="134" spans="1:97"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row>
    <row r="135" spans="1:97"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row>
    <row r="136" spans="1:97"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row>
    <row r="137" spans="1:97"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row>
    <row r="138" spans="1:97"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row>
    <row r="139" spans="1:97"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row>
    <row r="140" spans="1:97"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row>
    <row r="141" spans="1:97"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row>
    <row r="142" spans="1:97"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row>
    <row r="143" spans="1:97"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row>
    <row r="144" spans="1:97"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row>
    <row r="145" spans="1:97"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row>
    <row r="146" spans="1:97"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row>
    <row r="147" spans="1:97"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row>
    <row r="148" spans="1:97"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row>
    <row r="149" spans="1:97"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row>
    <row r="150" spans="1:97"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row>
    <row r="151" spans="1:97"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row>
    <row r="152" spans="1:97"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row>
    <row r="153" spans="1:97"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row>
    <row r="154" spans="1:97"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row>
    <row r="155" spans="1:97"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row>
    <row r="156" spans="1:97"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row>
    <row r="157" spans="1:97"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row>
    <row r="158" spans="1:97"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row>
    <row r="159" spans="1:97"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row>
    <row r="160" spans="1:97"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row>
    <row r="161" spans="1:97"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row>
    <row r="162" spans="1:97"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row>
    <row r="163" spans="1:97"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row>
    <row r="164" spans="1:97"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row>
    <row r="165" spans="1:97"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row>
    <row r="166" spans="1:97"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row>
    <row r="167" spans="1:97"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row>
    <row r="168" spans="1:97"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row>
    <row r="169" spans="1:97"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row>
    <row r="170" spans="1:97"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row>
    <row r="171" spans="1:97"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row>
    <row r="172" spans="1:97"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row>
    <row r="173" spans="1:97"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row>
    <row r="174" spans="1:97"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row>
    <row r="175" spans="1:97"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row>
    <row r="176" spans="1:97"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row>
    <row r="177" spans="1:97"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row>
    <row r="178" spans="1:97"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row>
    <row r="179" spans="1:97"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row>
    <row r="180" spans="1:97"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row>
    <row r="181" spans="1:97"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row>
    <row r="182" spans="1:97"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row>
    <row r="183" spans="1:97"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row>
    <row r="184" spans="1:97"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row>
    <row r="185" spans="1:97"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row>
    <row r="186" spans="1:97"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row>
    <row r="187" spans="1:97"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row>
    <row r="188" spans="1:97"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row>
    <row r="189" spans="1:97"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row>
    <row r="190" spans="1:97"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row>
    <row r="191" spans="1:97"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row>
    <row r="192" spans="1:97"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row>
    <row r="193" spans="1:97"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row>
    <row r="194" spans="1:97"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row>
    <row r="195" spans="1:97"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row>
    <row r="196" spans="1:97"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row>
    <row r="197" spans="1:97"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row>
    <row r="198" spans="1:97"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row>
    <row r="199" spans="1:97"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row>
    <row r="200" spans="1:97"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row>
    <row r="201" spans="1:97"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row>
    <row r="202" spans="1:97"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row>
    <row r="203" spans="1:97"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row>
    <row r="204" spans="1:97"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row>
    <row r="205" spans="1:97"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row>
    <row r="206" spans="1:97"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row>
    <row r="207" spans="1:97"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row>
    <row r="208" spans="1:97"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row>
    <row r="209" spans="1:97"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row>
    <row r="210" spans="1:97"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row>
    <row r="211" spans="1:97"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row>
    <row r="212" spans="1:97"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row>
    <row r="213" spans="1:97"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row>
    <row r="214" spans="1:97"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row>
    <row r="215" spans="1:97"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row>
    <row r="216" spans="1:97"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row>
    <row r="217" spans="1:97"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row>
    <row r="218" spans="1:97"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row>
    <row r="219" spans="1:97"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row>
    <row r="220" spans="1:97"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row>
    <row r="221" spans="1:97"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row>
    <row r="222" spans="1:97"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row>
    <row r="223" spans="1:97"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row>
    <row r="224" spans="1:97"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row>
    <row r="225" spans="1:97"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row>
    <row r="226" spans="1:97"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row>
    <row r="227" spans="1:97"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row>
    <row r="228" spans="1:97"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row>
    <row r="229" spans="1:97"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row>
    <row r="230" spans="1:97"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row>
    <row r="231" spans="1:97"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row>
    <row r="232" spans="1:97"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row>
    <row r="233" spans="1:97"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row>
    <row r="234" spans="1:97"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row>
    <row r="235" spans="1:97"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row>
    <row r="236" spans="1:97"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row>
    <row r="237" spans="1:97"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row>
    <row r="238" spans="1:97"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row>
    <row r="239" spans="1:97"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row>
    <row r="240" spans="1:97"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row>
    <row r="241" spans="1:97"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row>
    <row r="242" spans="1:97"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row>
    <row r="243" spans="1:97"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row>
    <row r="244" spans="1:97"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row>
    <row r="245" spans="1:97"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row>
    <row r="246" spans="1:97"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row>
    <row r="247" spans="1:97"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row>
    <row r="248" spans="1:97"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row>
    <row r="249" spans="1:97"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row>
    <row r="250" spans="1:97"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row>
    <row r="251" spans="1:97"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row>
    <row r="252" spans="1:97"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row>
    <row r="253" spans="1:97"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row>
    <row r="254" spans="1:97"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row>
    <row r="255" spans="1:97"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row>
    <row r="256" spans="1:97"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row>
    <row r="257" spans="1:97"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row>
    <row r="258" spans="1:97"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row>
    <row r="259" spans="1:97"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row>
    <row r="260" spans="1:97"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row>
    <row r="261" spans="1:97"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row>
    <row r="262" spans="1:97"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row>
    <row r="263" spans="1:97"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row>
    <row r="264" spans="1:97" ht="13.5" customHeight="1" thickBot="1"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row>
    <row r="265" spans="1:97"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245" t="s">
        <v>71</v>
      </c>
      <c r="BU265" s="246"/>
      <c r="BV265" s="246"/>
      <c r="BW265" s="246"/>
      <c r="BX265" s="247"/>
      <c r="BY265" s="19"/>
      <c r="BZ265" s="19"/>
      <c r="CA265" s="19"/>
      <c r="CB265" s="19"/>
      <c r="CC265" s="19"/>
      <c r="CD265" s="19"/>
      <c r="CE265" s="19"/>
      <c r="CF265" s="19"/>
      <c r="CG265" s="19"/>
      <c r="CH265" s="19"/>
      <c r="CI265" s="19"/>
      <c r="CJ265" s="19"/>
      <c r="CK265" s="19"/>
      <c r="CL265" s="19"/>
      <c r="CM265" s="19"/>
      <c r="CN265" s="19"/>
      <c r="CO265" s="19"/>
      <c r="CP265" s="19"/>
      <c r="CQ265" s="19"/>
      <c r="CR265" s="19"/>
      <c r="CS265" s="19"/>
    </row>
    <row r="266" spans="1:97"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25"/>
      <c r="BU266" s="19" t="s">
        <v>72</v>
      </c>
      <c r="BV266" s="19" t="s">
        <v>73</v>
      </c>
      <c r="BW266" s="19" t="s">
        <v>74</v>
      </c>
      <c r="BX266" s="26"/>
      <c r="BY266" s="19"/>
      <c r="BZ266" s="19"/>
      <c r="CA266" s="19"/>
      <c r="CB266" s="19"/>
      <c r="CC266" s="19"/>
      <c r="CD266" s="19"/>
      <c r="CE266" s="19"/>
      <c r="CF266" s="19"/>
      <c r="CG266" s="19"/>
      <c r="CH266" s="19"/>
      <c r="CI266" s="19"/>
      <c r="CJ266" s="19"/>
      <c r="CK266" s="19"/>
      <c r="CL266" s="19"/>
      <c r="CM266" s="19"/>
      <c r="CN266" s="19"/>
      <c r="CO266" s="19"/>
      <c r="CP266" s="19"/>
      <c r="CQ266" s="19"/>
      <c r="CR266" s="19"/>
      <c r="CS266" s="19"/>
    </row>
    <row r="267" spans="1:97"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69">
        <v>100</v>
      </c>
      <c r="BU267" s="70" t="s">
        <v>29</v>
      </c>
      <c r="BV267" s="27">
        <f t="shared" ref="BV267:BV272" si="1">+BT267</f>
        <v>100</v>
      </c>
      <c r="BW267" s="32" t="s">
        <v>75</v>
      </c>
      <c r="BX267" s="26"/>
      <c r="BY267" s="19"/>
      <c r="BZ267" s="19"/>
      <c r="CA267" s="19"/>
      <c r="CB267" s="19"/>
      <c r="CC267" s="19"/>
      <c r="CD267" s="19"/>
      <c r="CE267" s="19"/>
      <c r="CF267" s="19"/>
      <c r="CG267" s="19"/>
      <c r="CH267" s="19"/>
      <c r="CI267" s="19"/>
      <c r="CJ267" s="19"/>
      <c r="CK267" s="19"/>
      <c r="CL267" s="19"/>
      <c r="CM267" s="19"/>
      <c r="CN267" s="19"/>
      <c r="CO267" s="19"/>
      <c r="CP267" s="19"/>
      <c r="CQ267" s="19"/>
      <c r="CR267" s="19"/>
      <c r="CS267" s="19"/>
    </row>
    <row r="268" spans="1:97" ht="25.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69">
        <v>200</v>
      </c>
      <c r="BU268" s="70" t="s">
        <v>76</v>
      </c>
      <c r="BV268" s="27">
        <f t="shared" si="1"/>
        <v>200</v>
      </c>
      <c r="BW268" s="32" t="s">
        <v>77</v>
      </c>
      <c r="BX268" s="26"/>
      <c r="BY268" s="19"/>
      <c r="BZ268" s="19"/>
      <c r="CA268" s="19"/>
      <c r="CB268" s="19"/>
      <c r="CC268" s="19"/>
      <c r="CD268" s="19"/>
      <c r="CE268" s="19"/>
      <c r="CF268" s="19"/>
      <c r="CG268" s="19"/>
      <c r="CH268" s="19"/>
      <c r="CI268" s="19"/>
      <c r="CJ268" s="19"/>
      <c r="CK268" s="19"/>
      <c r="CL268" s="19"/>
      <c r="CM268" s="19"/>
      <c r="CN268" s="19"/>
      <c r="CO268" s="19"/>
      <c r="CP268" s="19"/>
      <c r="CQ268" s="19"/>
      <c r="CR268" s="19"/>
      <c r="CS268" s="19"/>
    </row>
    <row r="269" spans="1:97" ht="57"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69">
        <v>300</v>
      </c>
      <c r="BU269" s="71" t="s">
        <v>78</v>
      </c>
      <c r="BV269" s="27">
        <f t="shared" si="1"/>
        <v>300</v>
      </c>
      <c r="BW269" s="32" t="s">
        <v>79</v>
      </c>
      <c r="BX269" s="26"/>
      <c r="BY269" s="19"/>
      <c r="BZ269" s="19"/>
      <c r="CA269" s="19"/>
      <c r="CB269" s="19"/>
      <c r="CC269" s="19"/>
      <c r="CD269" s="19"/>
      <c r="CE269" s="19"/>
      <c r="CF269" s="19"/>
      <c r="CG269" s="19"/>
      <c r="CH269" s="19"/>
      <c r="CI269" s="19"/>
      <c r="CJ269" s="19"/>
      <c r="CK269" s="19"/>
      <c r="CL269" s="19"/>
      <c r="CM269" s="19"/>
      <c r="CN269" s="19"/>
      <c r="CO269" s="19"/>
      <c r="CP269" s="19"/>
      <c r="CQ269" s="19"/>
      <c r="CR269" s="19"/>
      <c r="CS269" s="19"/>
    </row>
    <row r="270" spans="1:97" ht="57"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69">
        <v>400</v>
      </c>
      <c r="BU270" s="71" t="s">
        <v>80</v>
      </c>
      <c r="BV270" s="27">
        <f t="shared" si="1"/>
        <v>400</v>
      </c>
      <c r="BW270" s="32" t="s">
        <v>81</v>
      </c>
      <c r="BX270" s="26"/>
      <c r="BY270" s="19"/>
      <c r="BZ270" s="19"/>
      <c r="CA270" s="19"/>
      <c r="CB270" s="19"/>
      <c r="CC270" s="19"/>
      <c r="CD270" s="19"/>
      <c r="CE270" s="19"/>
      <c r="CF270" s="19"/>
      <c r="CG270" s="19"/>
      <c r="CH270" s="19"/>
      <c r="CI270" s="19"/>
      <c r="CJ270" s="19"/>
      <c r="CK270" s="19"/>
      <c r="CL270" s="19"/>
      <c r="CM270" s="19"/>
      <c r="CN270" s="19"/>
      <c r="CO270" s="19"/>
      <c r="CP270" s="19"/>
      <c r="CQ270" s="19"/>
      <c r="CR270" s="19"/>
      <c r="CS270" s="19"/>
    </row>
    <row r="271" spans="1:97"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69">
        <v>500</v>
      </c>
      <c r="BU271" s="70" t="s">
        <v>82</v>
      </c>
      <c r="BV271" s="27">
        <f t="shared" si="1"/>
        <v>500</v>
      </c>
      <c r="BW271" s="32" t="s">
        <v>83</v>
      </c>
      <c r="BX271" s="26"/>
      <c r="BY271" s="19"/>
      <c r="BZ271" s="19"/>
      <c r="CA271" s="19"/>
      <c r="CB271" s="19"/>
      <c r="CC271" s="19"/>
      <c r="CD271" s="19"/>
      <c r="CE271" s="19"/>
      <c r="CF271" s="19"/>
      <c r="CG271" s="19"/>
      <c r="CH271" s="19"/>
      <c r="CI271" s="19"/>
      <c r="CJ271" s="19"/>
      <c r="CK271" s="19"/>
      <c r="CL271" s="19"/>
      <c r="CM271" s="19"/>
      <c r="CN271" s="19"/>
      <c r="CO271" s="19"/>
      <c r="CP271" s="19"/>
      <c r="CQ271" s="19"/>
      <c r="CR271" s="19"/>
      <c r="CS271" s="19"/>
    </row>
    <row r="272" spans="1:97" ht="25.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69">
        <v>600</v>
      </c>
      <c r="BU272" s="70" t="s">
        <v>84</v>
      </c>
      <c r="BV272" s="27">
        <f t="shared" si="1"/>
        <v>600</v>
      </c>
      <c r="BW272" s="32" t="s">
        <v>85</v>
      </c>
      <c r="BX272" s="26"/>
      <c r="BY272" s="19"/>
      <c r="BZ272" s="19"/>
      <c r="CA272" s="19"/>
      <c r="CB272" s="19"/>
      <c r="CC272" s="19"/>
      <c r="CD272" s="19"/>
      <c r="CE272" s="19"/>
      <c r="CF272" s="19"/>
      <c r="CG272" s="19"/>
      <c r="CH272" s="19"/>
      <c r="CI272" s="19"/>
      <c r="CJ272" s="19"/>
      <c r="CK272" s="19"/>
      <c r="CL272" s="19"/>
      <c r="CM272" s="19"/>
      <c r="CN272" s="19"/>
      <c r="CO272" s="19"/>
      <c r="CP272" s="19"/>
      <c r="CQ272" s="19"/>
      <c r="CR272" s="19"/>
      <c r="CS272" s="19"/>
    </row>
    <row r="273" spans="1:97"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69"/>
      <c r="BU273" s="27"/>
      <c r="BV273" s="27"/>
      <c r="BW273" s="32"/>
      <c r="BX273" s="26"/>
      <c r="BY273" s="19"/>
      <c r="BZ273" s="19"/>
      <c r="CA273" s="19"/>
      <c r="CB273" s="19"/>
      <c r="CC273" s="19"/>
      <c r="CD273" s="19"/>
      <c r="CE273" s="19"/>
      <c r="CF273" s="19"/>
      <c r="CG273" s="19"/>
      <c r="CH273" s="19"/>
      <c r="CI273" s="19"/>
      <c r="CJ273" s="19"/>
      <c r="CK273" s="19"/>
      <c r="CL273" s="19"/>
      <c r="CM273" s="19"/>
      <c r="CN273" s="19"/>
      <c r="CO273" s="19"/>
      <c r="CP273" s="19"/>
      <c r="CQ273" s="19"/>
      <c r="CR273" s="19"/>
      <c r="CS273" s="19"/>
    </row>
    <row r="274" spans="1:97"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72"/>
      <c r="BU274" s="32"/>
      <c r="BV274" s="32"/>
      <c r="BW274" s="32"/>
      <c r="BX274" s="26"/>
      <c r="BY274" s="19"/>
      <c r="BZ274" s="19"/>
      <c r="CA274" s="19"/>
      <c r="CB274" s="19"/>
      <c r="CC274" s="19"/>
      <c r="CD274" s="19"/>
      <c r="CE274" s="19"/>
      <c r="CF274" s="19"/>
      <c r="CG274" s="19"/>
      <c r="CH274" s="19"/>
      <c r="CI274" s="19"/>
      <c r="CJ274" s="19"/>
      <c r="CK274" s="19"/>
      <c r="CL274" s="19"/>
      <c r="CM274" s="19"/>
      <c r="CN274" s="19"/>
      <c r="CO274" s="19"/>
      <c r="CP274" s="19"/>
      <c r="CQ274" s="19"/>
      <c r="CR274" s="19"/>
      <c r="CS274" s="19"/>
    </row>
    <row r="275" spans="1:97"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72"/>
      <c r="BU275" s="32"/>
      <c r="BV275" s="32"/>
      <c r="BW275" s="32"/>
      <c r="BX275" s="26"/>
      <c r="BY275" s="19"/>
      <c r="BZ275" s="19"/>
      <c r="CA275" s="19"/>
      <c r="CB275" s="19"/>
      <c r="CC275" s="19"/>
      <c r="CD275" s="19"/>
      <c r="CE275" s="19"/>
      <c r="CF275" s="19" t="s">
        <v>40</v>
      </c>
      <c r="CG275" s="19" t="s">
        <v>86</v>
      </c>
      <c r="CH275" s="19" t="s">
        <v>87</v>
      </c>
      <c r="CI275" s="19"/>
      <c r="CJ275" s="19"/>
      <c r="CK275" s="19"/>
      <c r="CL275" s="19"/>
      <c r="CM275" s="19"/>
      <c r="CN275" s="19"/>
      <c r="CO275" s="19"/>
      <c r="CP275" s="19"/>
      <c r="CQ275" s="19"/>
      <c r="CR275" s="19"/>
      <c r="CS275" s="19"/>
    </row>
    <row r="276" spans="1:97"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25"/>
      <c r="BU276" s="19"/>
      <c r="BV276" s="19"/>
      <c r="BW276" s="19"/>
      <c r="BX276" s="26"/>
      <c r="BY276" s="19"/>
      <c r="BZ276" s="19"/>
      <c r="CA276" s="19"/>
      <c r="CB276" s="19"/>
      <c r="CC276" s="19"/>
      <c r="CD276" s="19"/>
      <c r="CE276" s="19" t="s">
        <v>36</v>
      </c>
      <c r="CF276" s="44">
        <v>6.4999999999999997E-3</v>
      </c>
      <c r="CG276" s="68">
        <v>0.03</v>
      </c>
      <c r="CH276" s="19" t="s">
        <v>88</v>
      </c>
      <c r="CI276" s="44">
        <f>(C19+C20)+C31</f>
        <v>5.6500000000000002E-2</v>
      </c>
      <c r="CJ276" s="19"/>
      <c r="CK276" s="19"/>
      <c r="CL276" s="19"/>
      <c r="CM276" s="19"/>
      <c r="CN276" s="19"/>
      <c r="CO276" s="19"/>
      <c r="CP276" s="19"/>
      <c r="CQ276" s="19"/>
      <c r="CR276" s="19"/>
      <c r="CS276" s="19"/>
    </row>
    <row r="277" spans="1:97"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25"/>
      <c r="BU277" s="19"/>
      <c r="BV277" s="19"/>
      <c r="BW277" s="19"/>
      <c r="BX277" s="26"/>
      <c r="BY277" s="19"/>
      <c r="BZ277" s="19"/>
      <c r="CA277" s="19"/>
      <c r="CB277" s="19"/>
      <c r="CC277" s="19"/>
      <c r="CD277" s="19"/>
      <c r="CE277" s="19" t="s">
        <v>89</v>
      </c>
      <c r="CF277" s="44">
        <v>1.6500000000000001E-2</v>
      </c>
      <c r="CG277" s="44">
        <v>7.5999999999999998E-2</v>
      </c>
      <c r="CH277" s="19" t="s">
        <v>90</v>
      </c>
      <c r="CI277" s="44">
        <f>(C19+C20)*F24+C31</f>
        <v>2.0000000000000004E-2</v>
      </c>
      <c r="CJ277" s="19"/>
      <c r="CK277" s="19"/>
      <c r="CL277" s="19"/>
      <c r="CM277" s="19"/>
      <c r="CN277" s="19"/>
      <c r="CO277" s="19"/>
      <c r="CP277" s="19"/>
      <c r="CQ277" s="19"/>
      <c r="CR277" s="19"/>
      <c r="CS277" s="19"/>
    </row>
    <row r="278" spans="1:97"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25"/>
      <c r="BU278" s="19"/>
      <c r="BV278" s="19"/>
      <c r="BW278" s="19"/>
      <c r="BX278" s="26"/>
      <c r="BY278" s="19"/>
      <c r="BZ278" s="19"/>
      <c r="CA278" s="19"/>
      <c r="CB278" s="19"/>
      <c r="CC278" s="19"/>
      <c r="CD278" s="19"/>
      <c r="CE278" s="19"/>
      <c r="CF278" s="19"/>
      <c r="CG278" s="19"/>
      <c r="CH278" s="19"/>
      <c r="CI278" s="19"/>
      <c r="CJ278" s="19"/>
      <c r="CK278" s="19"/>
      <c r="CL278" s="19"/>
      <c r="CM278" s="19"/>
      <c r="CN278" s="19"/>
      <c r="CO278" s="19"/>
      <c r="CP278" s="19"/>
      <c r="CQ278" s="19"/>
      <c r="CR278" s="19"/>
      <c r="CS278" s="19"/>
    </row>
    <row r="279" spans="1:97"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73"/>
      <c r="BU279" s="60"/>
      <c r="BV279" s="60"/>
      <c r="BW279" s="19"/>
      <c r="BX279" s="26"/>
      <c r="BY279" s="19"/>
      <c r="BZ279" s="19"/>
      <c r="CA279" s="19"/>
      <c r="CB279" s="19"/>
      <c r="CC279" s="19"/>
      <c r="CD279" s="19"/>
      <c r="CE279" s="19"/>
      <c r="CF279" s="19"/>
      <c r="CG279" s="19"/>
      <c r="CH279" s="19"/>
      <c r="CI279" s="19"/>
      <c r="CJ279" s="19"/>
      <c r="CK279" s="19"/>
      <c r="CL279" s="19"/>
      <c r="CM279" s="19"/>
      <c r="CN279" s="19"/>
      <c r="CO279" s="19"/>
      <c r="CP279" s="19"/>
      <c r="CQ279" s="19"/>
      <c r="CR279" s="19"/>
      <c r="CS279" s="19"/>
    </row>
    <row r="280" spans="1:97"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25"/>
      <c r="BU280" s="19"/>
      <c r="BV280" s="19"/>
      <c r="BW280" s="19"/>
      <c r="BX280" s="26"/>
      <c r="BY280" s="19"/>
      <c r="BZ280" s="19"/>
      <c r="CA280" s="19"/>
      <c r="CB280" s="19"/>
      <c r="CC280" s="19"/>
      <c r="CD280" s="19"/>
      <c r="CE280" s="19"/>
      <c r="CF280" s="19"/>
      <c r="CG280" s="19"/>
      <c r="CH280" s="19"/>
      <c r="CI280" s="19"/>
      <c r="CJ280" s="19"/>
      <c r="CK280" s="19"/>
      <c r="CL280" s="19"/>
      <c r="CM280" s="19"/>
      <c r="CN280" s="19"/>
      <c r="CO280" s="19"/>
      <c r="CP280" s="19"/>
      <c r="CQ280" s="19"/>
      <c r="CR280" s="19"/>
      <c r="CS280" s="19"/>
    </row>
    <row r="281" spans="1:97" ht="13.5" customHeight="1" thickBot="1"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25"/>
      <c r="BU281" s="19"/>
      <c r="BV281" s="19"/>
      <c r="BW281" s="19"/>
      <c r="BX281" s="26"/>
      <c r="BY281" s="19"/>
      <c r="BZ281" s="19"/>
      <c r="CA281" s="19"/>
      <c r="CB281" s="19"/>
      <c r="CC281" s="19"/>
      <c r="CD281" s="19">
        <f>BT267</f>
        <v>100</v>
      </c>
      <c r="CE281" s="236" t="str">
        <f>BU267</f>
        <v>Construção de edificios</v>
      </c>
      <c r="CF281" s="237"/>
      <c r="CG281" s="237"/>
      <c r="CH281" s="237"/>
      <c r="CI281" s="19"/>
      <c r="CJ281" s="19"/>
      <c r="CK281" s="19"/>
      <c r="CL281" s="19"/>
      <c r="CM281" s="19"/>
      <c r="CN281" s="19"/>
      <c r="CO281" s="19"/>
      <c r="CP281" s="19"/>
      <c r="CQ281" s="19"/>
      <c r="CR281" s="19"/>
      <c r="CS281" s="19"/>
    </row>
    <row r="282" spans="1:97" ht="15" customHeight="1" thickBot="1"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25"/>
      <c r="BU282" s="19"/>
      <c r="BV282" s="19"/>
      <c r="BW282" s="19"/>
      <c r="BX282" s="26"/>
      <c r="BY282" s="19"/>
      <c r="BZ282" s="19"/>
      <c r="CA282" s="19"/>
      <c r="CB282" s="19"/>
      <c r="CC282" s="19"/>
      <c r="CD282" s="19">
        <f>+CD281+1</f>
        <v>101</v>
      </c>
      <c r="CE282" s="74" t="s">
        <v>60</v>
      </c>
      <c r="CF282" s="75">
        <v>0.03</v>
      </c>
      <c r="CG282" s="75">
        <v>0.04</v>
      </c>
      <c r="CH282" s="75">
        <v>5.5E-2</v>
      </c>
      <c r="CI282" s="19"/>
      <c r="CJ282" s="19"/>
      <c r="CK282" s="19"/>
      <c r="CL282" s="19"/>
      <c r="CM282" s="19"/>
      <c r="CN282" s="19"/>
      <c r="CO282" s="19"/>
      <c r="CP282" s="19"/>
      <c r="CQ282" s="19"/>
      <c r="CR282" s="19"/>
      <c r="CS282" s="19"/>
    </row>
    <row r="283" spans="1:97" ht="15" customHeight="1" thickBot="1"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25"/>
      <c r="BU283" s="19"/>
      <c r="BV283" s="19"/>
      <c r="BW283" s="19"/>
      <c r="BX283" s="26"/>
      <c r="BY283" s="19"/>
      <c r="BZ283" s="19"/>
      <c r="CA283" s="19"/>
      <c r="CB283" s="19"/>
      <c r="CC283" s="19"/>
      <c r="CD283" s="19">
        <f>+CD282+1</f>
        <v>102</v>
      </c>
      <c r="CE283" s="74" t="s">
        <v>61</v>
      </c>
      <c r="CF283" s="75">
        <v>8.0000000000000002E-3</v>
      </c>
      <c r="CG283" s="75">
        <v>8.0000000000000002E-3</v>
      </c>
      <c r="CH283" s="75">
        <v>0.01</v>
      </c>
      <c r="CI283" s="19"/>
      <c r="CJ283" s="19"/>
      <c r="CK283" s="19"/>
      <c r="CL283" s="19"/>
      <c r="CM283" s="19"/>
      <c r="CN283" s="19"/>
      <c r="CO283" s="19"/>
      <c r="CP283" s="19"/>
      <c r="CQ283" s="19"/>
      <c r="CR283" s="19"/>
      <c r="CS283" s="19"/>
    </row>
    <row r="284" spans="1:97" ht="15" customHeight="1" thickBot="1"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25"/>
      <c r="BU284" s="19"/>
      <c r="BV284" s="19"/>
      <c r="BW284" s="19"/>
      <c r="BX284" s="26"/>
      <c r="BY284" s="19"/>
      <c r="BZ284" s="19"/>
      <c r="CA284" s="19"/>
      <c r="CB284" s="19"/>
      <c r="CC284" s="19"/>
      <c r="CD284" s="19">
        <f>+CD283+1</f>
        <v>103</v>
      </c>
      <c r="CE284" s="74" t="s">
        <v>62</v>
      </c>
      <c r="CF284" s="75">
        <v>9.7000000000000003E-3</v>
      </c>
      <c r="CG284" s="75">
        <v>1.2699999999999999E-2</v>
      </c>
      <c r="CH284" s="75">
        <v>1.2699999999999999E-2</v>
      </c>
      <c r="CI284" s="19"/>
      <c r="CJ284" s="19"/>
      <c r="CK284" s="19"/>
      <c r="CL284" s="19"/>
      <c r="CM284" s="19"/>
      <c r="CN284" s="19"/>
      <c r="CO284" s="19"/>
      <c r="CP284" s="19"/>
      <c r="CQ284" s="19"/>
      <c r="CR284" s="19"/>
      <c r="CS284" s="19"/>
    </row>
    <row r="285" spans="1:97" ht="15" customHeight="1" thickBot="1"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73"/>
      <c r="BU285" s="60"/>
      <c r="BV285" s="60"/>
      <c r="BW285" s="19"/>
      <c r="BX285" s="26"/>
      <c r="BY285" s="19"/>
      <c r="BZ285" s="19"/>
      <c r="CA285" s="19"/>
      <c r="CB285" s="19"/>
      <c r="CC285" s="19"/>
      <c r="CD285" s="19">
        <f>+CD284+1</f>
        <v>104</v>
      </c>
      <c r="CE285" s="74" t="s">
        <v>63</v>
      </c>
      <c r="CF285" s="75">
        <v>5.8999999999999999E-3</v>
      </c>
      <c r="CG285" s="75">
        <v>1.23E-2</v>
      </c>
      <c r="CH285" s="75">
        <v>1.3899999999999999E-2</v>
      </c>
      <c r="CI285" s="19"/>
      <c r="CJ285" s="19"/>
      <c r="CK285" s="19"/>
      <c r="CL285" s="19"/>
      <c r="CM285" s="19"/>
      <c r="CN285" s="19"/>
      <c r="CO285" s="19"/>
      <c r="CP285" s="19"/>
      <c r="CQ285" s="19"/>
      <c r="CR285" s="19"/>
      <c r="CS285" s="19"/>
    </row>
    <row r="286" spans="1:97" ht="15" customHeight="1" thickBot="1"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25"/>
      <c r="BU286" s="19"/>
      <c r="BV286" s="19"/>
      <c r="BW286" s="19"/>
      <c r="BX286" s="26"/>
      <c r="BY286" s="19"/>
      <c r="BZ286" s="19"/>
      <c r="CA286" s="19"/>
      <c r="CB286" s="19"/>
      <c r="CC286" s="19"/>
      <c r="CD286" s="19">
        <f>+CD285+1</f>
        <v>105</v>
      </c>
      <c r="CE286" s="74" t="s">
        <v>64</v>
      </c>
      <c r="CF286" s="75">
        <v>6.1600000000000002E-2</v>
      </c>
      <c r="CG286" s="75">
        <v>7.3999999999999996E-2</v>
      </c>
      <c r="CH286" s="75">
        <v>8.9599999999999999E-2</v>
      </c>
      <c r="CI286" s="19"/>
      <c r="CJ286" s="19"/>
      <c r="CK286" s="19"/>
      <c r="CL286" s="19"/>
      <c r="CM286" s="19"/>
      <c r="CN286" s="19"/>
      <c r="CO286" s="19"/>
      <c r="CP286" s="19"/>
      <c r="CQ286" s="19"/>
      <c r="CR286" s="19"/>
      <c r="CS286" s="19"/>
    </row>
    <row r="287" spans="1:97"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25"/>
      <c r="BU287" s="19"/>
      <c r="BV287" s="19"/>
      <c r="BW287" s="19"/>
      <c r="BX287" s="26"/>
      <c r="BY287" s="19"/>
      <c r="BZ287" s="19"/>
      <c r="CA287" s="19"/>
      <c r="CB287" s="19"/>
      <c r="CC287" s="19"/>
      <c r="CD287" s="19"/>
      <c r="CE287" s="19"/>
      <c r="CF287" s="19"/>
      <c r="CG287" s="19"/>
      <c r="CH287" s="19"/>
      <c r="CI287" s="19"/>
      <c r="CJ287" s="19"/>
      <c r="CK287" s="19"/>
      <c r="CL287" s="19"/>
      <c r="CM287" s="19"/>
      <c r="CN287" s="19"/>
      <c r="CO287" s="19"/>
      <c r="CP287" s="19"/>
      <c r="CQ287" s="19"/>
      <c r="CR287" s="19"/>
      <c r="CS287" s="19"/>
    </row>
    <row r="288" spans="1:97"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25"/>
      <c r="BU288" s="19"/>
      <c r="BV288" s="19"/>
      <c r="BW288" s="19"/>
      <c r="BX288" s="26"/>
      <c r="BY288" s="19"/>
      <c r="BZ288" s="19"/>
      <c r="CA288" s="19"/>
      <c r="CB288" s="19"/>
      <c r="CC288" s="19"/>
      <c r="CD288" s="19"/>
      <c r="CE288" s="19"/>
      <c r="CF288" s="19"/>
      <c r="CG288" s="19"/>
      <c r="CH288" s="19"/>
      <c r="CI288" s="19"/>
      <c r="CJ288" s="19"/>
      <c r="CK288" s="19"/>
      <c r="CL288" s="19"/>
      <c r="CM288" s="19"/>
      <c r="CN288" s="19"/>
      <c r="CO288" s="19"/>
      <c r="CP288" s="19"/>
      <c r="CQ288" s="19"/>
      <c r="CR288" s="19"/>
      <c r="CS288" s="19"/>
    </row>
    <row r="289" spans="1:97" ht="13.5" customHeight="1" thickBot="1"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25"/>
      <c r="BU289" s="19"/>
      <c r="BV289" s="19"/>
      <c r="BW289" s="19"/>
      <c r="BX289" s="26"/>
      <c r="BY289" s="19"/>
      <c r="BZ289" s="19"/>
      <c r="CA289" s="19"/>
      <c r="CB289" s="19"/>
      <c r="CC289" s="19"/>
      <c r="CD289" s="19">
        <f>BT268</f>
        <v>200</v>
      </c>
      <c r="CE289" s="236" t="str">
        <f>BU268</f>
        <v>Construção de rodovias e ferrovias</v>
      </c>
      <c r="CF289" s="237"/>
      <c r="CG289" s="237"/>
      <c r="CH289" s="237"/>
      <c r="CI289" s="19"/>
      <c r="CJ289" s="19"/>
      <c r="CK289" s="19"/>
      <c r="CL289" s="19"/>
      <c r="CM289" s="19"/>
      <c r="CN289" s="19"/>
      <c r="CO289" s="19"/>
      <c r="CP289" s="19"/>
      <c r="CQ289" s="19"/>
      <c r="CR289" s="19"/>
      <c r="CS289" s="19"/>
    </row>
    <row r="290" spans="1:97" ht="15" customHeight="1" thickBot="1"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25"/>
      <c r="BU290" s="19"/>
      <c r="BV290" s="19"/>
      <c r="BW290" s="19"/>
      <c r="BX290" s="26"/>
      <c r="BY290" s="19"/>
      <c r="BZ290" s="19"/>
      <c r="CA290" s="19"/>
      <c r="CB290" s="19"/>
      <c r="CC290" s="19"/>
      <c r="CD290" s="19">
        <f>+CD289+1</f>
        <v>201</v>
      </c>
      <c r="CE290" s="74" t="s">
        <v>60</v>
      </c>
      <c r="CF290" s="75">
        <v>3.7999999999999999E-2</v>
      </c>
      <c r="CG290" s="75">
        <v>4.0099999999999997E-2</v>
      </c>
      <c r="CH290" s="75">
        <v>4.6699999999999998E-2</v>
      </c>
      <c r="CI290" s="19"/>
      <c r="CJ290" s="19"/>
      <c r="CK290" s="19"/>
      <c r="CL290" s="19"/>
      <c r="CM290" s="19"/>
      <c r="CN290" s="19"/>
      <c r="CO290" s="19"/>
      <c r="CP290" s="19"/>
      <c r="CQ290" s="19"/>
      <c r="CR290" s="19"/>
      <c r="CS290" s="19"/>
    </row>
    <row r="291" spans="1:97" ht="15" customHeight="1" thickBot="1"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25"/>
      <c r="BU291" s="19"/>
      <c r="BV291" s="19"/>
      <c r="BW291" s="19"/>
      <c r="BX291" s="26"/>
      <c r="BY291" s="19"/>
      <c r="BZ291" s="19"/>
      <c r="CA291" s="19"/>
      <c r="CB291" s="19"/>
      <c r="CC291" s="19"/>
      <c r="CD291" s="19">
        <f>+CD290+1</f>
        <v>202</v>
      </c>
      <c r="CE291" s="74" t="s">
        <v>61</v>
      </c>
      <c r="CF291" s="75">
        <v>3.2000000000000002E-3</v>
      </c>
      <c r="CG291" s="75">
        <v>4.0000000000000001E-3</v>
      </c>
      <c r="CH291" s="75">
        <v>7.4000000000000003E-3</v>
      </c>
      <c r="CI291" s="19"/>
      <c r="CJ291" s="19"/>
      <c r="CK291" s="19"/>
      <c r="CL291" s="19"/>
      <c r="CM291" s="19"/>
      <c r="CN291" s="19"/>
      <c r="CO291" s="19"/>
      <c r="CP291" s="19"/>
      <c r="CQ291" s="19"/>
      <c r="CR291" s="19"/>
      <c r="CS291" s="19"/>
    </row>
    <row r="292" spans="1:97" ht="15" customHeight="1" thickBot="1"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245"/>
      <c r="BU292" s="246"/>
      <c r="BV292" s="246"/>
      <c r="BW292" s="246"/>
      <c r="BX292" s="247"/>
      <c r="BY292" s="19"/>
      <c r="BZ292" s="19"/>
      <c r="CA292" s="19"/>
      <c r="CB292" s="19"/>
      <c r="CC292" s="19"/>
      <c r="CD292" s="19">
        <f>+CD291+1</f>
        <v>203</v>
      </c>
      <c r="CE292" s="74" t="s">
        <v>62</v>
      </c>
      <c r="CF292" s="75">
        <v>5.0000000000000001E-3</v>
      </c>
      <c r="CG292" s="75">
        <v>5.5999999999999999E-3</v>
      </c>
      <c r="CH292" s="75">
        <v>9.7000000000000003E-3</v>
      </c>
      <c r="CI292" s="19"/>
      <c r="CJ292" s="19"/>
      <c r="CK292" s="19"/>
      <c r="CL292" s="19"/>
      <c r="CM292" s="19"/>
      <c r="CN292" s="19"/>
      <c r="CO292" s="19"/>
      <c r="CP292" s="19"/>
      <c r="CQ292" s="19"/>
      <c r="CR292" s="19"/>
      <c r="CS292" s="19"/>
    </row>
    <row r="293" spans="1:97" ht="15" customHeight="1" thickBot="1"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25"/>
      <c r="BU293" s="19"/>
      <c r="BV293" s="19"/>
      <c r="BW293" s="19"/>
      <c r="BX293" s="26"/>
      <c r="BY293" s="19"/>
      <c r="BZ293" s="19"/>
      <c r="CA293" s="19"/>
      <c r="CB293" s="19"/>
      <c r="CC293" s="19"/>
      <c r="CD293" s="19">
        <f>+CD292+1</f>
        <v>204</v>
      </c>
      <c r="CE293" s="74" t="s">
        <v>63</v>
      </c>
      <c r="CF293" s="75">
        <v>1.0200000000000001E-2</v>
      </c>
      <c r="CG293" s="75">
        <v>1.11E-2</v>
      </c>
      <c r="CH293" s="75">
        <v>1.21E-2</v>
      </c>
      <c r="CI293" s="19"/>
      <c r="CJ293" s="19"/>
      <c r="CK293" s="19"/>
      <c r="CL293" s="19"/>
      <c r="CM293" s="19"/>
      <c r="CN293" s="19"/>
      <c r="CO293" s="19"/>
      <c r="CP293" s="19"/>
      <c r="CQ293" s="19"/>
      <c r="CR293" s="19"/>
      <c r="CS293" s="19"/>
    </row>
    <row r="294" spans="1:97" ht="15" customHeight="1" thickBot="1"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25"/>
      <c r="BU294" s="19"/>
      <c r="BV294" s="19"/>
      <c r="BW294" s="19"/>
      <c r="BX294" s="26"/>
      <c r="BY294" s="19"/>
      <c r="BZ294" s="19"/>
      <c r="CA294" s="19"/>
      <c r="CB294" s="19"/>
      <c r="CC294" s="19"/>
      <c r="CD294" s="19">
        <f>+CD293+1</f>
        <v>205</v>
      </c>
      <c r="CE294" s="74" t="s">
        <v>64</v>
      </c>
      <c r="CF294" s="75">
        <v>6.6400000000000001E-2</v>
      </c>
      <c r="CG294" s="75">
        <v>7.2999999999999995E-2</v>
      </c>
      <c r="CH294" s="75">
        <v>8.6900000000000005E-2</v>
      </c>
      <c r="CI294" s="19"/>
      <c r="CJ294" s="19"/>
      <c r="CK294" s="19"/>
      <c r="CL294" s="19"/>
      <c r="CM294" s="19"/>
      <c r="CN294" s="19"/>
      <c r="CO294" s="19"/>
      <c r="CP294" s="19"/>
      <c r="CQ294" s="19"/>
      <c r="CR294" s="19"/>
      <c r="CS294" s="19"/>
    </row>
    <row r="295" spans="1:97"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25"/>
      <c r="BU295" s="19"/>
      <c r="BV295" s="19"/>
      <c r="BW295" s="19"/>
      <c r="BX295" s="26"/>
      <c r="BY295" s="19"/>
      <c r="BZ295" s="19"/>
      <c r="CA295" s="19"/>
      <c r="CB295" s="19"/>
      <c r="CC295" s="19"/>
      <c r="CD295" s="19"/>
      <c r="CE295" s="19"/>
      <c r="CF295" s="19"/>
      <c r="CG295" s="19"/>
      <c r="CH295" s="19"/>
      <c r="CI295" s="19"/>
      <c r="CJ295" s="19"/>
      <c r="CK295" s="19"/>
      <c r="CL295" s="19"/>
      <c r="CM295" s="19"/>
      <c r="CN295" s="19"/>
      <c r="CO295" s="19"/>
      <c r="CP295" s="19"/>
      <c r="CQ295" s="19"/>
      <c r="CR295" s="19"/>
      <c r="CS295" s="19"/>
    </row>
    <row r="296" spans="1:97" ht="13.5" customHeight="1" thickBot="1"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45"/>
      <c r="BU296" s="66"/>
      <c r="BV296" s="66"/>
      <c r="BW296" s="66"/>
      <c r="BX296" s="46"/>
      <c r="BY296" s="19"/>
      <c r="BZ296" s="19"/>
      <c r="CA296" s="19"/>
      <c r="CB296" s="19"/>
      <c r="CC296" s="19"/>
      <c r="CD296" s="19"/>
      <c r="CE296" s="19"/>
      <c r="CF296" s="19"/>
      <c r="CG296" s="19"/>
      <c r="CH296" s="19"/>
      <c r="CI296" s="19"/>
      <c r="CJ296" s="19"/>
      <c r="CK296" s="19"/>
      <c r="CL296" s="19"/>
      <c r="CM296" s="19"/>
      <c r="CN296" s="19"/>
      <c r="CO296" s="19"/>
      <c r="CP296" s="19"/>
      <c r="CQ296" s="19"/>
      <c r="CR296" s="19"/>
      <c r="CS296" s="19"/>
    </row>
    <row r="297" spans="1:97" ht="13.5" customHeight="1" thickBot="1"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245"/>
      <c r="BU297" s="246"/>
      <c r="BV297" s="246"/>
      <c r="BW297" s="246"/>
      <c r="BX297" s="247"/>
      <c r="BY297" s="19"/>
      <c r="BZ297" s="19"/>
      <c r="CA297" s="19"/>
      <c r="CB297" s="19"/>
      <c r="CC297" s="19"/>
      <c r="CD297" s="19">
        <f>BT269</f>
        <v>300</v>
      </c>
      <c r="CE297" s="236" t="str">
        <f>BU269</f>
        <v>Construção de Redes de Abastecimento de Água, Coleta de Esgoto e Construções Correlatas</v>
      </c>
      <c r="CF297" s="237"/>
      <c r="CG297" s="237"/>
      <c r="CH297" s="237"/>
      <c r="CI297" s="19"/>
      <c r="CJ297" s="19"/>
      <c r="CK297" s="19"/>
      <c r="CL297" s="19"/>
      <c r="CM297" s="19"/>
      <c r="CN297" s="19"/>
      <c r="CO297" s="19"/>
      <c r="CP297" s="19"/>
      <c r="CQ297" s="19"/>
      <c r="CR297" s="19"/>
      <c r="CS297" s="19"/>
    </row>
    <row r="298" spans="1:97" ht="15" customHeight="1" thickBot="1"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248"/>
      <c r="BU298" s="219"/>
      <c r="BV298" s="219"/>
      <c r="BW298" s="219"/>
      <c r="BX298" s="249"/>
      <c r="BY298" s="19"/>
      <c r="BZ298" s="19"/>
      <c r="CA298" s="19"/>
      <c r="CB298" s="19"/>
      <c r="CC298" s="19"/>
      <c r="CD298" s="19">
        <f>+CD297+1</f>
        <v>301</v>
      </c>
      <c r="CE298" s="76" t="s">
        <v>60</v>
      </c>
      <c r="CF298" s="77">
        <v>3.4299999999999997E-2</v>
      </c>
      <c r="CG298" s="77">
        <v>4.9299999999999997E-2</v>
      </c>
      <c r="CH298" s="77">
        <v>6.7100000000000007E-2</v>
      </c>
      <c r="CI298" s="19"/>
      <c r="CJ298" s="19"/>
      <c r="CK298" s="19"/>
      <c r="CL298" s="19"/>
      <c r="CM298" s="19"/>
      <c r="CN298" s="19"/>
      <c r="CO298" s="19"/>
      <c r="CP298" s="19"/>
      <c r="CQ298" s="19"/>
      <c r="CR298" s="19"/>
      <c r="CS298" s="19"/>
    </row>
    <row r="299" spans="1:97" ht="15" customHeight="1" thickBot="1"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248"/>
      <c r="BU299" s="219"/>
      <c r="BV299" s="219"/>
      <c r="BW299" s="219"/>
      <c r="BX299" s="249"/>
      <c r="BY299" s="19"/>
      <c r="BZ299" s="19"/>
      <c r="CA299" s="19"/>
      <c r="CB299" s="19"/>
      <c r="CC299" s="19"/>
      <c r="CD299" s="19">
        <f>+CD298+1</f>
        <v>302</v>
      </c>
      <c r="CE299" s="74" t="s">
        <v>61</v>
      </c>
      <c r="CF299" s="75">
        <v>2.8E-3</v>
      </c>
      <c r="CG299" s="75">
        <v>4.8999999999999998E-3</v>
      </c>
      <c r="CH299" s="75">
        <v>7.4999999999999997E-3</v>
      </c>
      <c r="CI299" s="19"/>
      <c r="CJ299" s="19"/>
      <c r="CK299" s="19"/>
      <c r="CL299" s="19"/>
      <c r="CM299" s="19"/>
      <c r="CN299" s="19"/>
      <c r="CO299" s="19"/>
      <c r="CP299" s="19"/>
      <c r="CQ299" s="19"/>
      <c r="CR299" s="19"/>
      <c r="CS299" s="19"/>
    </row>
    <row r="300" spans="1:97" ht="27" customHeight="1" thickBot="1"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78"/>
      <c r="BU300" s="79"/>
      <c r="BV300" s="80"/>
      <c r="BW300" s="80"/>
      <c r="BX300" s="81"/>
      <c r="BY300" s="19"/>
      <c r="BZ300" s="19"/>
      <c r="CA300" s="19"/>
      <c r="CB300" s="19"/>
      <c r="CC300" s="19"/>
      <c r="CD300" s="19">
        <f>+CD299+1</f>
        <v>303</v>
      </c>
      <c r="CE300" s="74" t="s">
        <v>62</v>
      </c>
      <c r="CF300" s="75">
        <v>0.01</v>
      </c>
      <c r="CG300" s="75">
        <v>1.3899999999999999E-2</v>
      </c>
      <c r="CH300" s="75">
        <v>1.7399999999999999E-2</v>
      </c>
      <c r="CI300" s="19"/>
      <c r="CJ300" s="19"/>
      <c r="CK300" s="19"/>
      <c r="CL300" s="19"/>
      <c r="CM300" s="19"/>
      <c r="CN300" s="19"/>
      <c r="CO300" s="19"/>
      <c r="CP300" s="19"/>
      <c r="CQ300" s="19"/>
      <c r="CR300" s="19"/>
      <c r="CS300" s="19"/>
    </row>
    <row r="301" spans="1:97" ht="15" customHeight="1" thickBot="1"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25"/>
      <c r="BU301" s="19"/>
      <c r="BV301" s="19"/>
      <c r="BW301" s="19"/>
      <c r="BX301" s="26"/>
      <c r="BY301" s="19"/>
      <c r="BZ301" s="19"/>
      <c r="CA301" s="19"/>
      <c r="CB301" s="19"/>
      <c r="CC301" s="19"/>
      <c r="CD301" s="19">
        <f>+CD300+1</f>
        <v>304</v>
      </c>
      <c r="CE301" s="74" t="s">
        <v>63</v>
      </c>
      <c r="CF301" s="75">
        <v>9.4000000000000004E-3</v>
      </c>
      <c r="CG301" s="75">
        <v>9.9000000000000008E-3</v>
      </c>
      <c r="CH301" s="75">
        <v>1.17E-2</v>
      </c>
      <c r="CI301" s="19"/>
      <c r="CJ301" s="19"/>
      <c r="CK301" s="19"/>
      <c r="CL301" s="19"/>
      <c r="CM301" s="19"/>
      <c r="CN301" s="19"/>
      <c r="CO301" s="19"/>
      <c r="CP301" s="19"/>
      <c r="CQ301" s="19"/>
      <c r="CR301" s="19"/>
      <c r="CS301" s="19"/>
    </row>
    <row r="302" spans="1:97" ht="15" customHeight="1" thickBot="1"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45"/>
      <c r="BU302" s="66"/>
      <c r="BV302" s="66"/>
      <c r="BW302" s="66"/>
      <c r="BX302" s="46"/>
      <c r="BY302" s="19"/>
      <c r="BZ302" s="19"/>
      <c r="CA302" s="19"/>
      <c r="CB302" s="19"/>
      <c r="CC302" s="19"/>
      <c r="CD302" s="19">
        <f>+CD301+1</f>
        <v>305</v>
      </c>
      <c r="CE302" s="74" t="s">
        <v>64</v>
      </c>
      <c r="CF302" s="75">
        <v>6.7400000000000002E-2</v>
      </c>
      <c r="CG302" s="75">
        <v>8.0399999999999999E-2</v>
      </c>
      <c r="CH302" s="75">
        <v>9.4E-2</v>
      </c>
      <c r="CI302" s="19"/>
      <c r="CJ302" s="19"/>
      <c r="CK302" s="19"/>
      <c r="CL302" s="19"/>
      <c r="CM302" s="19"/>
      <c r="CN302" s="19"/>
      <c r="CO302" s="19"/>
      <c r="CP302" s="19"/>
      <c r="CQ302" s="19"/>
      <c r="CR302" s="19"/>
      <c r="CS302" s="19"/>
    </row>
    <row r="303" spans="1:97"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245"/>
      <c r="BU303" s="246"/>
      <c r="BV303" s="246"/>
      <c r="BW303" s="246"/>
      <c r="BX303" s="247"/>
      <c r="BY303" s="19"/>
      <c r="BZ303" s="19"/>
      <c r="CA303" s="19"/>
      <c r="CB303" s="19"/>
      <c r="CC303" s="19"/>
      <c r="CD303" s="19"/>
      <c r="CE303" s="19"/>
      <c r="CF303" s="19"/>
      <c r="CG303" s="19"/>
      <c r="CH303" s="19"/>
      <c r="CI303" s="19"/>
      <c r="CJ303" s="19"/>
      <c r="CK303" s="19"/>
      <c r="CL303" s="19"/>
      <c r="CM303" s="19"/>
      <c r="CN303" s="19"/>
      <c r="CO303" s="19"/>
      <c r="CP303" s="19"/>
      <c r="CQ303" s="19"/>
      <c r="CR303" s="19"/>
      <c r="CS303" s="19"/>
    </row>
    <row r="304" spans="1:97" ht="13.5" customHeight="1" thickBot="1"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82"/>
      <c r="BU304" s="83" t="s">
        <v>91</v>
      </c>
      <c r="BV304" s="83" t="s">
        <v>92</v>
      </c>
      <c r="BW304" s="83" t="s">
        <v>93</v>
      </c>
      <c r="BX304" s="83" t="s">
        <v>94</v>
      </c>
      <c r="BY304" s="19"/>
      <c r="BZ304" s="19"/>
      <c r="CA304" s="19"/>
      <c r="CB304" s="19"/>
      <c r="CC304" s="19"/>
      <c r="CD304" s="19">
        <f>BT270</f>
        <v>400</v>
      </c>
      <c r="CE304" s="236" t="str">
        <f>BU270</f>
        <v>Construção e Manutenção de Estações e Redes de Distribuição de Energia Elétrica</v>
      </c>
      <c r="CF304" s="237"/>
      <c r="CG304" s="237"/>
      <c r="CH304" s="237"/>
      <c r="CI304" s="19"/>
      <c r="CJ304" s="19"/>
      <c r="CK304" s="19"/>
      <c r="CL304" s="19"/>
      <c r="CM304" s="19"/>
      <c r="CN304" s="19"/>
      <c r="CO304" s="19"/>
      <c r="CP304" s="19"/>
      <c r="CQ304" s="19"/>
      <c r="CR304" s="19"/>
      <c r="CS304" s="19"/>
    </row>
    <row r="305" spans="1:97" ht="15" customHeight="1" thickBot="1"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82" t="s">
        <v>3</v>
      </c>
      <c r="BU305" s="83">
        <f>VLOOKUP(C6,BU267:BV272,2,0)</f>
        <v>100</v>
      </c>
      <c r="BV305" s="84">
        <f>VLOOKUP($BU305,$BT$316:$BX$321,3,0)</f>
        <v>0.2034</v>
      </c>
      <c r="BW305" s="84">
        <f>VLOOKUP($BU305,$BT$316:$BX$321,4,0)</f>
        <v>0.22120000000000001</v>
      </c>
      <c r="BX305" s="84">
        <f>VLOOKUP($BU305,$BT$316:$BX$321,5,0)</f>
        <v>0.25</v>
      </c>
      <c r="BY305" s="19"/>
      <c r="BZ305" s="19"/>
      <c r="CA305" s="19"/>
      <c r="CB305" s="19"/>
      <c r="CC305" s="19"/>
      <c r="CD305" s="19">
        <f>+CD304+1</f>
        <v>401</v>
      </c>
      <c r="CE305" s="76" t="s">
        <v>60</v>
      </c>
      <c r="CF305" s="77">
        <v>5.2900000000000003E-2</v>
      </c>
      <c r="CG305" s="77">
        <v>5.9200000000000003E-2</v>
      </c>
      <c r="CH305" s="77">
        <v>7.9299999999999995E-2</v>
      </c>
      <c r="CI305" s="19"/>
      <c r="CJ305" s="19"/>
      <c r="CK305" s="19"/>
      <c r="CL305" s="19"/>
      <c r="CM305" s="19"/>
      <c r="CN305" s="19"/>
      <c r="CO305" s="19"/>
      <c r="CP305" s="19"/>
      <c r="CQ305" s="19"/>
      <c r="CR305" s="19"/>
      <c r="CS305" s="19"/>
    </row>
    <row r="306" spans="1:97" ht="15" customHeight="1" thickBot="1"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85" t="s">
        <v>60</v>
      </c>
      <c r="BU306" s="83">
        <f>+BU305+1</f>
        <v>101</v>
      </c>
      <c r="BV306" s="84">
        <f>VLOOKUP($BU306,$CD$281:$CH$322,3,0)</f>
        <v>0.03</v>
      </c>
      <c r="BW306" s="84">
        <f>VLOOKUP($BU306,$CD$281:$CH$322,4,0)</f>
        <v>0.04</v>
      </c>
      <c r="BX306" s="84">
        <f>VLOOKUP($BU306,$CD$281:$CH$322,5,0)</f>
        <v>5.5E-2</v>
      </c>
      <c r="BY306" s="19"/>
      <c r="BZ306" s="19"/>
      <c r="CA306" s="19"/>
      <c r="CB306" s="19"/>
      <c r="CC306" s="19"/>
      <c r="CD306" s="19">
        <f>+CD305+1</f>
        <v>402</v>
      </c>
      <c r="CE306" s="74" t="s">
        <v>61</v>
      </c>
      <c r="CF306" s="75">
        <v>2.5000000000000001E-3</v>
      </c>
      <c r="CG306" s="75">
        <v>5.1000000000000004E-3</v>
      </c>
      <c r="CH306" s="75">
        <v>5.5999999999999999E-3</v>
      </c>
      <c r="CI306" s="19"/>
      <c r="CJ306" s="19"/>
      <c r="CK306" s="19"/>
      <c r="CL306" s="19"/>
      <c r="CM306" s="19"/>
      <c r="CN306" s="19"/>
      <c r="CO306" s="19"/>
      <c r="CP306" s="19"/>
      <c r="CQ306" s="19"/>
      <c r="CR306" s="19"/>
      <c r="CS306" s="19"/>
    </row>
    <row r="307" spans="1:97" ht="15" customHeight="1" thickBot="1"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85" t="s">
        <v>61</v>
      </c>
      <c r="BU307" s="83">
        <f>+BU306+1</f>
        <v>102</v>
      </c>
      <c r="BV307" s="84">
        <f>VLOOKUP($BU307,$CD$281:$CH$322,3,0)</f>
        <v>8.0000000000000002E-3</v>
      </c>
      <c r="BW307" s="84">
        <f>VLOOKUP($BU307,$CD$281:$CH$322,4,0)</f>
        <v>8.0000000000000002E-3</v>
      </c>
      <c r="BX307" s="84">
        <f>VLOOKUP($BU307,$CD$281:$CH$322,5,0)</f>
        <v>0.01</v>
      </c>
      <c r="BY307" s="19"/>
      <c r="BZ307" s="19"/>
      <c r="CA307" s="19"/>
      <c r="CB307" s="19"/>
      <c r="CC307" s="19"/>
      <c r="CD307" s="19">
        <f>+CD306+1</f>
        <v>403</v>
      </c>
      <c r="CE307" s="74" t="s">
        <v>62</v>
      </c>
      <c r="CF307" s="75">
        <v>0.01</v>
      </c>
      <c r="CG307" s="75">
        <v>1.4800000000000001E-2</v>
      </c>
      <c r="CH307" s="75">
        <v>1.9699999999999999E-2</v>
      </c>
      <c r="CI307" s="19"/>
      <c r="CJ307" s="19"/>
      <c r="CK307" s="19"/>
      <c r="CL307" s="19"/>
      <c r="CM307" s="19"/>
      <c r="CN307" s="19"/>
      <c r="CO307" s="19"/>
      <c r="CP307" s="19"/>
      <c r="CQ307" s="19"/>
      <c r="CR307" s="19"/>
      <c r="CS307" s="19"/>
    </row>
    <row r="308" spans="1:97" ht="15" customHeight="1" thickBot="1"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85" t="s">
        <v>62</v>
      </c>
      <c r="BU308" s="83">
        <f>+BU307+1</f>
        <v>103</v>
      </c>
      <c r="BV308" s="84">
        <f>VLOOKUP($BU308,$CD$281:$CH$322,3,0)</f>
        <v>9.7000000000000003E-3</v>
      </c>
      <c r="BW308" s="84">
        <f>VLOOKUP($BU308,$CD$281:$CH$322,4,0)</f>
        <v>1.2699999999999999E-2</v>
      </c>
      <c r="BX308" s="84">
        <f>VLOOKUP($BU308,$CD$281:$CH$322,5,0)</f>
        <v>1.2699999999999999E-2</v>
      </c>
      <c r="BY308" s="19"/>
      <c r="BZ308" s="19"/>
      <c r="CA308" s="19"/>
      <c r="CB308" s="19"/>
      <c r="CC308" s="19"/>
      <c r="CD308" s="19">
        <f>+CD307+1</f>
        <v>404</v>
      </c>
      <c r="CE308" s="74" t="s">
        <v>63</v>
      </c>
      <c r="CF308" s="75">
        <v>1.01E-2</v>
      </c>
      <c r="CG308" s="75">
        <v>1.0699999999999999E-2</v>
      </c>
      <c r="CH308" s="75">
        <v>1.11E-2</v>
      </c>
      <c r="CI308" s="19"/>
      <c r="CJ308" s="19"/>
      <c r="CK308" s="19"/>
      <c r="CL308" s="19"/>
      <c r="CM308" s="19"/>
      <c r="CN308" s="19"/>
      <c r="CO308" s="19"/>
      <c r="CP308" s="19"/>
      <c r="CQ308" s="19"/>
      <c r="CR308" s="19"/>
      <c r="CS308" s="19"/>
    </row>
    <row r="309" spans="1:97" ht="15" customHeight="1" thickBot="1"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85" t="s">
        <v>63</v>
      </c>
      <c r="BU309" s="83">
        <f>+BU308+1</f>
        <v>104</v>
      </c>
      <c r="BV309" s="84">
        <f>VLOOKUP($BU309,$CD$281:$CH$322,3,0)</f>
        <v>5.8999999999999999E-3</v>
      </c>
      <c r="BW309" s="84">
        <f>VLOOKUP($BU309,$CD$281:$CH$322,4,0)</f>
        <v>1.23E-2</v>
      </c>
      <c r="BX309" s="84">
        <f>VLOOKUP($BU309,$CD$281:$CH$322,5,0)</f>
        <v>1.3899999999999999E-2</v>
      </c>
      <c r="BY309" s="19"/>
      <c r="BZ309" s="19"/>
      <c r="CA309" s="19"/>
      <c r="CB309" s="19"/>
      <c r="CC309" s="19"/>
      <c r="CD309" s="19">
        <f>+CD308+1</f>
        <v>405</v>
      </c>
      <c r="CE309" s="74" t="s">
        <v>64</v>
      </c>
      <c r="CF309" s="75">
        <v>0.08</v>
      </c>
      <c r="CG309" s="75">
        <v>8.3099999999999993E-2</v>
      </c>
      <c r="CH309" s="75">
        <v>9.5100000000000004E-2</v>
      </c>
      <c r="CI309" s="19"/>
      <c r="CJ309" s="19"/>
      <c r="CK309" s="19"/>
      <c r="CL309" s="19"/>
      <c r="CM309" s="19"/>
      <c r="CN309" s="19"/>
      <c r="CO309" s="19"/>
      <c r="CP309" s="19"/>
      <c r="CQ309" s="19"/>
      <c r="CR309" s="19"/>
      <c r="CS309" s="19"/>
    </row>
    <row r="310" spans="1:97" ht="15" customHeight="1" thickBot="1"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85" t="s">
        <v>64</v>
      </c>
      <c r="BU310" s="83">
        <f>+BU309+1</f>
        <v>105</v>
      </c>
      <c r="BV310" s="84">
        <f>VLOOKUP($BU310,$CD$281:$CH$322,3,0)</f>
        <v>6.1600000000000002E-2</v>
      </c>
      <c r="BW310" s="84">
        <f>VLOOKUP($BU310,$CD$281:$CH$322,4,0)</f>
        <v>7.3999999999999996E-2</v>
      </c>
      <c r="BX310" s="84">
        <f>VLOOKUP($BU310,$CD$281:$CH$322,5,0)</f>
        <v>8.9599999999999999E-2</v>
      </c>
      <c r="BY310" s="19"/>
      <c r="BZ310" s="19"/>
      <c r="CA310" s="19"/>
      <c r="CB310" s="19"/>
      <c r="CC310" s="19"/>
      <c r="CD310" s="19">
        <f>BT271</f>
        <v>500</v>
      </c>
      <c r="CE310" s="236" t="str">
        <f>BU271</f>
        <v>Portuárias, Marítimas e Fluviais</v>
      </c>
      <c r="CF310" s="237"/>
      <c r="CG310" s="237"/>
      <c r="CH310" s="237"/>
      <c r="CI310" s="19"/>
      <c r="CJ310" s="19"/>
      <c r="CK310" s="19"/>
      <c r="CL310" s="19"/>
      <c r="CM310" s="19"/>
      <c r="CN310" s="19"/>
      <c r="CO310" s="19"/>
      <c r="CP310" s="19"/>
      <c r="CQ310" s="19"/>
      <c r="CR310" s="19"/>
      <c r="CS310" s="19"/>
    </row>
    <row r="311" spans="1:97" ht="15" customHeight="1" thickBot="1"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25"/>
      <c r="BU311" s="19"/>
      <c r="BV311" s="19"/>
      <c r="BW311" s="19"/>
      <c r="BX311" s="26"/>
      <c r="BY311" s="19"/>
      <c r="BZ311" s="19"/>
      <c r="CA311" s="19"/>
      <c r="CB311" s="19"/>
      <c r="CC311" s="19"/>
      <c r="CD311" s="19">
        <f>+CD310+1</f>
        <v>501</v>
      </c>
      <c r="CE311" s="76" t="s">
        <v>60</v>
      </c>
      <c r="CF311" s="77">
        <v>0.04</v>
      </c>
      <c r="CG311" s="77">
        <v>5.5199999999999999E-2</v>
      </c>
      <c r="CH311" s="77">
        <v>7.85E-2</v>
      </c>
      <c r="CI311" s="19"/>
      <c r="CJ311" s="19"/>
      <c r="CK311" s="19"/>
      <c r="CL311" s="19"/>
      <c r="CM311" s="19"/>
      <c r="CN311" s="19"/>
      <c r="CO311" s="19"/>
      <c r="CP311" s="19"/>
      <c r="CQ311" s="19"/>
      <c r="CR311" s="19"/>
      <c r="CS311" s="19"/>
    </row>
    <row r="312" spans="1:97" ht="15" customHeight="1" thickBot="1"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f>+CD311+1</f>
        <v>502</v>
      </c>
      <c r="CE312" s="74" t="s">
        <v>61</v>
      </c>
      <c r="CF312" s="75">
        <v>8.0999999999999996E-3</v>
      </c>
      <c r="CG312" s="75">
        <v>1.2200000000000001E-2</v>
      </c>
      <c r="CH312" s="75">
        <v>1.9900000000000001E-2</v>
      </c>
      <c r="CI312" s="19"/>
      <c r="CJ312" s="19"/>
      <c r="CK312" s="19"/>
      <c r="CL312" s="19"/>
      <c r="CM312" s="19"/>
      <c r="CN312" s="19"/>
      <c r="CO312" s="19"/>
      <c r="CP312" s="19"/>
      <c r="CQ312" s="19"/>
      <c r="CR312" s="19"/>
      <c r="CS312" s="19"/>
    </row>
    <row r="313" spans="1:97" ht="15" customHeight="1" thickBot="1"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f>+CD312+1</f>
        <v>503</v>
      </c>
      <c r="CE313" s="74" t="s">
        <v>62</v>
      </c>
      <c r="CF313" s="75">
        <v>1.46E-2</v>
      </c>
      <c r="CG313" s="75">
        <v>2.3199999999999998E-2</v>
      </c>
      <c r="CH313" s="75">
        <v>3.1600000000000003E-2</v>
      </c>
      <c r="CI313" s="19"/>
      <c r="CJ313" s="19"/>
      <c r="CK313" s="19"/>
      <c r="CL313" s="19"/>
      <c r="CM313" s="19"/>
      <c r="CN313" s="19"/>
      <c r="CO313" s="19"/>
      <c r="CP313" s="19"/>
      <c r="CQ313" s="19"/>
      <c r="CR313" s="19"/>
      <c r="CS313" s="19"/>
    </row>
    <row r="314" spans="1:97" ht="15" customHeight="1" thickBot="1"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f>+CD313+1</f>
        <v>504</v>
      </c>
      <c r="CE314" s="74" t="s">
        <v>63</v>
      </c>
      <c r="CF314" s="75">
        <v>9.4000000000000004E-3</v>
      </c>
      <c r="CG314" s="75">
        <v>1.0200000000000001E-2</v>
      </c>
      <c r="CH314" s="75">
        <v>1.3299999999999999E-2</v>
      </c>
      <c r="CI314" s="19"/>
      <c r="CJ314" s="19"/>
      <c r="CK314" s="19"/>
      <c r="CL314" s="19"/>
      <c r="CM314" s="19"/>
      <c r="CN314" s="19"/>
      <c r="CO314" s="19"/>
      <c r="CP314" s="19"/>
      <c r="CQ314" s="19"/>
      <c r="CR314" s="19"/>
      <c r="CS314" s="19"/>
    </row>
    <row r="315" spans="1:97" ht="15" customHeight="1" thickBot="1"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86" t="s">
        <v>95</v>
      </c>
      <c r="BW315" s="87" t="s">
        <v>93</v>
      </c>
      <c r="BX315" s="87" t="s">
        <v>96</v>
      </c>
      <c r="BY315" s="19"/>
      <c r="BZ315" s="19"/>
      <c r="CA315" s="19"/>
      <c r="CB315" s="19"/>
      <c r="CC315" s="19"/>
      <c r="CD315" s="19">
        <f>+CD314+1</f>
        <v>505</v>
      </c>
      <c r="CE315" s="74" t="s">
        <v>64</v>
      </c>
      <c r="CF315" s="75">
        <v>7.1400000000000005E-2</v>
      </c>
      <c r="CG315" s="75">
        <v>8.4000000000000005E-2</v>
      </c>
      <c r="CH315" s="75">
        <v>0.1043</v>
      </c>
      <c r="CI315" s="19"/>
      <c r="CJ315" s="19"/>
      <c r="CK315" s="19"/>
      <c r="CL315" s="19"/>
      <c r="CM315" s="19"/>
      <c r="CN315" s="19"/>
      <c r="CO315" s="19"/>
      <c r="CP315" s="19"/>
      <c r="CQ315" s="19"/>
      <c r="CR315" s="19"/>
      <c r="CS315" s="19"/>
    </row>
    <row r="316" spans="1:97" ht="15" customHeight="1" thickBot="1"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f>BT267</f>
        <v>100</v>
      </c>
      <c r="BU316" s="76" t="str">
        <f t="shared" ref="BU316:BU321" si="2">VLOOKUP(BT316,BT267:BU272,2,0)</f>
        <v>Construção de edificios</v>
      </c>
      <c r="BV316" s="77">
        <v>0.2034</v>
      </c>
      <c r="BW316" s="77">
        <v>0.22120000000000001</v>
      </c>
      <c r="BX316" s="77">
        <v>0.25</v>
      </c>
      <c r="BY316" s="19"/>
      <c r="BZ316" s="19"/>
      <c r="CA316" s="19"/>
      <c r="CB316" s="19"/>
      <c r="CC316" s="19"/>
      <c r="CD316" s="19"/>
      <c r="CE316" s="19"/>
      <c r="CF316" s="19"/>
      <c r="CG316" s="19"/>
      <c r="CH316" s="19"/>
      <c r="CI316" s="19"/>
      <c r="CJ316" s="19"/>
      <c r="CK316" s="19"/>
      <c r="CL316" s="19"/>
      <c r="CM316" s="19"/>
      <c r="CN316" s="19"/>
      <c r="CO316" s="19"/>
      <c r="CP316" s="19"/>
      <c r="CQ316" s="19"/>
      <c r="CR316" s="19"/>
      <c r="CS316" s="19"/>
    </row>
    <row r="317" spans="1:97" ht="29.25" customHeight="1" thickBot="1"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v>200</v>
      </c>
      <c r="BU317" s="76" t="str">
        <f t="shared" si="2"/>
        <v>Construção de rodovias e ferrovias</v>
      </c>
      <c r="BV317" s="75">
        <v>0.19600000000000001</v>
      </c>
      <c r="BW317" s="75">
        <v>0.2097</v>
      </c>
      <c r="BX317" s="75">
        <v>0.24229999999999999</v>
      </c>
      <c r="BY317" s="19"/>
      <c r="BZ317" s="19"/>
      <c r="CA317" s="19"/>
      <c r="CB317" s="19"/>
      <c r="CC317" s="19"/>
      <c r="CD317" s="19">
        <f>BT272</f>
        <v>600</v>
      </c>
      <c r="CE317" s="236" t="str">
        <f>BU272</f>
        <v>Fornecimento de Materiais e Equipamentos</v>
      </c>
      <c r="CF317" s="237"/>
      <c r="CG317" s="237"/>
      <c r="CH317" s="237"/>
      <c r="CI317" s="19"/>
      <c r="CJ317" s="19"/>
      <c r="CK317" s="19"/>
      <c r="CL317" s="19"/>
      <c r="CM317" s="19"/>
      <c r="CN317" s="19"/>
      <c r="CO317" s="19"/>
      <c r="CP317" s="19"/>
      <c r="CQ317" s="19"/>
      <c r="CR317" s="19"/>
      <c r="CS317" s="19"/>
    </row>
    <row r="318" spans="1:97" ht="57.75" customHeight="1" thickBot="1"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f>BT269</f>
        <v>300</v>
      </c>
      <c r="BU318" s="76" t="str">
        <f t="shared" si="2"/>
        <v>Construção de Redes de Abastecimento de Água, Coleta de Esgoto e Construções Correlatas</v>
      </c>
      <c r="BV318" s="75">
        <v>0.20760000000000001</v>
      </c>
      <c r="BW318" s="75">
        <v>0.24179999999999999</v>
      </c>
      <c r="BX318" s="75">
        <v>0.26440000000000002</v>
      </c>
      <c r="BY318" s="19"/>
      <c r="BZ318" s="19"/>
      <c r="CA318" s="19"/>
      <c r="CB318" s="19"/>
      <c r="CC318" s="19"/>
      <c r="CD318" s="19">
        <f>+CD317+1</f>
        <v>601</v>
      </c>
      <c r="CE318" s="76" t="s">
        <v>60</v>
      </c>
      <c r="CF318" s="77">
        <v>1.4999999999999999E-2</v>
      </c>
      <c r="CG318" s="77">
        <v>3.4500000000000003E-2</v>
      </c>
      <c r="CH318" s="77">
        <v>4.4900000000000002E-2</v>
      </c>
      <c r="CI318" s="19"/>
      <c r="CJ318" s="19"/>
      <c r="CK318" s="19"/>
      <c r="CL318" s="19"/>
      <c r="CM318" s="19"/>
      <c r="CN318" s="19"/>
      <c r="CO318" s="19"/>
      <c r="CP318" s="19"/>
      <c r="CQ318" s="19"/>
      <c r="CR318" s="19"/>
      <c r="CS318" s="19"/>
    </row>
    <row r="319" spans="1:97" ht="57.75" customHeight="1" thickBot="1"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v>400</v>
      </c>
      <c r="BU319" s="76" t="str">
        <f t="shared" si="2"/>
        <v>Construção e Manutenção de Estações e Redes de Distribuição de Energia Elétrica</v>
      </c>
      <c r="BV319" s="75">
        <v>0.24</v>
      </c>
      <c r="BW319" s="75">
        <v>0.25840000000000002</v>
      </c>
      <c r="BX319" s="75">
        <v>0.27860000000000001</v>
      </c>
      <c r="BY319" s="19"/>
      <c r="BZ319" s="19"/>
      <c r="CA319" s="19"/>
      <c r="CB319" s="19"/>
      <c r="CC319" s="19"/>
      <c r="CD319" s="19">
        <f>+CD318+1</f>
        <v>602</v>
      </c>
      <c r="CE319" s="74" t="s">
        <v>61</v>
      </c>
      <c r="CF319" s="75">
        <v>3.0000000000000001E-3</v>
      </c>
      <c r="CG319" s="75">
        <v>4.7999999999999996E-3</v>
      </c>
      <c r="CH319" s="75">
        <v>8.2000000000000007E-3</v>
      </c>
      <c r="CI319" s="19"/>
      <c r="CJ319" s="19"/>
      <c r="CK319" s="19"/>
      <c r="CL319" s="19"/>
      <c r="CM319" s="19"/>
      <c r="CN319" s="19"/>
      <c r="CO319" s="19"/>
      <c r="CP319" s="19"/>
      <c r="CQ319" s="19"/>
      <c r="CR319" s="19"/>
      <c r="CS319" s="19"/>
    </row>
    <row r="320" spans="1:97" ht="29.25" customHeight="1" thickBot="1"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v>500</v>
      </c>
      <c r="BU320" s="76" t="str">
        <f t="shared" si="2"/>
        <v>Portuárias, Marítimas e Fluviais</v>
      </c>
      <c r="BV320" s="75">
        <v>0.22800000000000001</v>
      </c>
      <c r="BW320" s="75">
        <v>0.27479999999999999</v>
      </c>
      <c r="BX320" s="75">
        <v>0.3095</v>
      </c>
      <c r="BY320" s="19"/>
      <c r="BZ320" s="19"/>
      <c r="CA320" s="19"/>
      <c r="CB320" s="19"/>
      <c r="CC320" s="19"/>
      <c r="CD320" s="19">
        <f>+CD319+1</f>
        <v>603</v>
      </c>
      <c r="CE320" s="74" t="s">
        <v>62</v>
      </c>
      <c r="CF320" s="75">
        <v>5.5999999999999999E-3</v>
      </c>
      <c r="CG320" s="75">
        <v>8.5000000000000006E-3</v>
      </c>
      <c r="CH320" s="75">
        <v>8.8999999999999999E-3</v>
      </c>
      <c r="CI320" s="19"/>
      <c r="CJ320" s="19"/>
      <c r="CK320" s="19"/>
      <c r="CL320" s="19"/>
      <c r="CM320" s="19"/>
      <c r="CN320" s="19"/>
      <c r="CO320" s="19"/>
      <c r="CP320" s="19"/>
      <c r="CQ320" s="19"/>
      <c r="CR320" s="19"/>
      <c r="CS320" s="19"/>
    </row>
    <row r="321" spans="1:97" ht="29.25" customHeight="1" thickBot="1"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v>600</v>
      </c>
      <c r="BU321" s="76" t="str">
        <f t="shared" si="2"/>
        <v>Fornecimento de Materiais e Equipamentos</v>
      </c>
      <c r="BV321" s="75">
        <v>0.111</v>
      </c>
      <c r="BW321" s="75">
        <v>0.14019999999999999</v>
      </c>
      <c r="BX321" s="75">
        <v>0.16800000000000001</v>
      </c>
      <c r="BY321" s="19"/>
      <c r="BZ321" s="19"/>
      <c r="CA321" s="19"/>
      <c r="CB321" s="19"/>
      <c r="CC321" s="19"/>
      <c r="CD321" s="19">
        <f>+CD320+1</f>
        <v>604</v>
      </c>
      <c r="CE321" s="74" t="s">
        <v>63</v>
      </c>
      <c r="CF321" s="75">
        <v>8.5000000000000006E-3</v>
      </c>
      <c r="CG321" s="75">
        <v>8.5000000000000006E-3</v>
      </c>
      <c r="CH321" s="75">
        <v>1.11E-2</v>
      </c>
      <c r="CI321" s="19"/>
      <c r="CJ321" s="19"/>
      <c r="CK321" s="19"/>
      <c r="CL321" s="19"/>
      <c r="CM321" s="19"/>
      <c r="CN321" s="19"/>
      <c r="CO321" s="19"/>
      <c r="CP321" s="19"/>
      <c r="CQ321" s="19"/>
      <c r="CR321" s="19"/>
      <c r="CS321" s="19"/>
    </row>
    <row r="322" spans="1:97" ht="15" customHeight="1" thickBot="1"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f>+CD321+1</f>
        <v>605</v>
      </c>
      <c r="CE322" s="74" t="s">
        <v>64</v>
      </c>
      <c r="CF322" s="75">
        <v>3.5000000000000003E-2</v>
      </c>
      <c r="CG322" s="75">
        <v>5.11E-2</v>
      </c>
      <c r="CH322" s="75">
        <v>6.2199999999999998E-2</v>
      </c>
      <c r="CI322" s="19"/>
      <c r="CJ322" s="19"/>
      <c r="CK322" s="19"/>
      <c r="CL322" s="19"/>
      <c r="CM322" s="19"/>
      <c r="CN322" s="19"/>
      <c r="CO322" s="19"/>
      <c r="CP322" s="19"/>
      <c r="CQ322" s="19"/>
      <c r="CR322" s="19"/>
      <c r="CS322" s="19"/>
    </row>
    <row r="323" spans="1:97"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row>
    <row r="324" spans="1:97"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row>
    <row r="325" spans="1:97"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row>
    <row r="326" spans="1:97"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row>
    <row r="327" spans="1:97"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row>
    <row r="328" spans="1:97"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row>
    <row r="329" spans="1:97"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row>
    <row r="330" spans="1:97"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row>
    <row r="331" spans="1:97"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row>
    <row r="332" spans="1:97"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row>
    <row r="333" spans="1:97"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row>
    <row r="334" spans="1:97"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row>
    <row r="335" spans="1:97"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row>
    <row r="336" spans="1:97"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row>
    <row r="337" spans="1:97"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row>
    <row r="338" spans="1:97"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row>
    <row r="339" spans="1:97"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row>
    <row r="340" spans="1:97"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row>
    <row r="341" spans="1:97"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row>
    <row r="342" spans="1:97"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row>
    <row r="343" spans="1:97"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row>
    <row r="344" spans="1:97"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row>
    <row r="345" spans="1:97"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row>
    <row r="346" spans="1:97"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row>
    <row r="347" spans="1:97"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row>
    <row r="348" spans="1:97"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row>
    <row r="349" spans="1:97"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row>
    <row r="350" spans="1:97"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row>
    <row r="351" spans="1:97"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row>
    <row r="352" spans="1:97"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row>
    <row r="353" spans="1:97"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row>
    <row r="354" spans="1:97"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row>
    <row r="355" spans="1:97"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row>
    <row r="356" spans="1:97"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row>
    <row r="357" spans="1:97"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row>
    <row r="358" spans="1:97"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row>
    <row r="359" spans="1:97"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row>
    <row r="360" spans="1:97"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row>
    <row r="361" spans="1:97"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row>
    <row r="362" spans="1:97"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row>
    <row r="363" spans="1:97"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row>
    <row r="364" spans="1:97"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row>
    <row r="365" spans="1:97"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row>
    <row r="366" spans="1:97"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row>
    <row r="367" spans="1:97"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row>
    <row r="368" spans="1:97"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row>
    <row r="369" spans="1:97"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row>
    <row r="370" spans="1:97"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row>
    <row r="371" spans="1:97"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row>
    <row r="372" spans="1:97"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row>
    <row r="373" spans="1:97"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row>
    <row r="374" spans="1:97"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row>
    <row r="375" spans="1:97"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row>
    <row r="376" spans="1:97"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row>
    <row r="377" spans="1:97"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row>
    <row r="378" spans="1:97"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row>
    <row r="379" spans="1:97"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row>
    <row r="380" spans="1:97"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row>
    <row r="381" spans="1:97"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row>
    <row r="382" spans="1:97"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row>
    <row r="383" spans="1:97"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row>
    <row r="384" spans="1:97"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row>
    <row r="385" spans="1:97"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row>
    <row r="386" spans="1:97"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row>
    <row r="387" spans="1:97"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row>
    <row r="388" spans="1:97"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row>
    <row r="389" spans="1:97"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row>
    <row r="390" spans="1:97"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row>
    <row r="391" spans="1:97"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row>
    <row r="392" spans="1:97"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row>
    <row r="393" spans="1:97"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row>
    <row r="394" spans="1:97"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row>
    <row r="395" spans="1:97"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row>
    <row r="396" spans="1:97"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row>
    <row r="397" spans="1:97"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row>
    <row r="398" spans="1:97"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row>
    <row r="399" spans="1:97"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row>
    <row r="400" spans="1:97"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row>
    <row r="401" spans="1:97"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row>
    <row r="402" spans="1:97"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row>
    <row r="403" spans="1:97"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row>
    <row r="404" spans="1:97"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row>
    <row r="405" spans="1:97"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row>
    <row r="406" spans="1:97"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row>
    <row r="407" spans="1:97"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row>
    <row r="408" spans="1:97"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row>
    <row r="409" spans="1:97"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row>
    <row r="410" spans="1:97"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row>
    <row r="411" spans="1:97"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row>
    <row r="412" spans="1:97"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row>
    <row r="413" spans="1:97"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row>
    <row r="414" spans="1:97"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row>
    <row r="415" spans="1:97"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row>
    <row r="416" spans="1:97"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row>
    <row r="417" spans="1:97"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row>
    <row r="418" spans="1:97"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row>
    <row r="419" spans="1:97"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row>
    <row r="420" spans="1:97"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row>
    <row r="421" spans="1:97"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row>
    <row r="422" spans="1:97"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row>
    <row r="423" spans="1:97"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row>
    <row r="424" spans="1:97"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row>
    <row r="425" spans="1:97"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row>
    <row r="426" spans="1:97"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row>
    <row r="427" spans="1:97"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row>
    <row r="428" spans="1:97"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row>
    <row r="429" spans="1:97"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row>
    <row r="430" spans="1:97"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row>
    <row r="431" spans="1:97"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row>
    <row r="432" spans="1:97"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row>
    <row r="433" spans="1:97"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row>
    <row r="434" spans="1:97"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row>
    <row r="435" spans="1:97"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row>
    <row r="436" spans="1:97"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row>
    <row r="437" spans="1:97"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row>
    <row r="438" spans="1:97"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row>
    <row r="439" spans="1:97"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row>
    <row r="440" spans="1:97"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row>
    <row r="441" spans="1:97"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row>
    <row r="442" spans="1:97"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row>
    <row r="443" spans="1:97"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row>
    <row r="444" spans="1:97"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row>
    <row r="445" spans="1:97"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row>
    <row r="446" spans="1:97"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row>
    <row r="447" spans="1:97"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row>
    <row r="448" spans="1:97"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row>
    <row r="449" spans="1:97"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row>
    <row r="450" spans="1:97"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row>
    <row r="451" spans="1:97"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row>
    <row r="452" spans="1:97"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row>
    <row r="453" spans="1:97"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row>
    <row r="454" spans="1:97"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row>
    <row r="455" spans="1:97"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row>
    <row r="456" spans="1:97"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row>
    <row r="457" spans="1:97"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row>
    <row r="458" spans="1:97"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row>
    <row r="459" spans="1:97"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row>
    <row r="460" spans="1:97"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row>
    <row r="461" spans="1:97"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row>
    <row r="462" spans="1:97"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row>
    <row r="463" spans="1:97"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row>
    <row r="464" spans="1:97"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row>
    <row r="465" spans="1:97"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row>
    <row r="466" spans="1:97"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row>
    <row r="467" spans="1:97"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row>
    <row r="468" spans="1:97"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row>
    <row r="469" spans="1:97"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row>
    <row r="470" spans="1:97"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row>
    <row r="471" spans="1:97"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row>
    <row r="472" spans="1:97"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row>
    <row r="473" spans="1:97"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row>
    <row r="474" spans="1:97"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row>
    <row r="475" spans="1:97"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row>
    <row r="476" spans="1:97"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row>
    <row r="477" spans="1:97"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row>
    <row r="478" spans="1:97"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row>
    <row r="479" spans="1:97"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row>
    <row r="480" spans="1:97"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row>
    <row r="481" spans="1:97"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row>
    <row r="482" spans="1:97"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row>
    <row r="483" spans="1:97"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row>
    <row r="484" spans="1:97"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row>
    <row r="485" spans="1:97"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row>
    <row r="486" spans="1:97"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row>
    <row r="487" spans="1:97"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row>
    <row r="488" spans="1:97"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row>
    <row r="489" spans="1:97"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row>
    <row r="490" spans="1:97"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row>
    <row r="491" spans="1:97"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row>
    <row r="492" spans="1:97"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row>
    <row r="493" spans="1:97"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row>
    <row r="494" spans="1:97"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row>
    <row r="495" spans="1:97"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row>
    <row r="496" spans="1:97"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row>
    <row r="497" spans="1:97"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row>
    <row r="498" spans="1:97"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row>
    <row r="499" spans="1:97"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row>
    <row r="500" spans="1:97"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row>
    <row r="501" spans="1:97"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row>
    <row r="502" spans="1:97"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row>
    <row r="503" spans="1:97"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row>
    <row r="504" spans="1:97"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row>
    <row r="505" spans="1:97"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row>
    <row r="506" spans="1:97"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row>
    <row r="507" spans="1:97"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row>
    <row r="508" spans="1:97"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row>
    <row r="509" spans="1:97"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row>
    <row r="510" spans="1:97"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row>
    <row r="511" spans="1:97"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row>
    <row r="512" spans="1:97"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row>
    <row r="513" spans="1:97"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row>
    <row r="514" spans="1:97"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row>
    <row r="515" spans="1:97"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row>
    <row r="516" spans="1:97"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row>
    <row r="517" spans="1:97"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row>
    <row r="518" spans="1:97"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row>
    <row r="519" spans="1:97"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row>
    <row r="520" spans="1:97"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row>
    <row r="521" spans="1:97"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row>
    <row r="522" spans="1:97"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row>
    <row r="523" spans="1:97"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row>
    <row r="524" spans="1:97"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row>
    <row r="525" spans="1:97"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row>
    <row r="526" spans="1:97"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row>
    <row r="527" spans="1:97"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row>
    <row r="528" spans="1:97"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row>
    <row r="529" spans="1:97"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row>
    <row r="530" spans="1:97"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row>
    <row r="531" spans="1:97"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row>
    <row r="532" spans="1:97"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row>
    <row r="533" spans="1:97"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row>
    <row r="534" spans="1:97"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row>
    <row r="535" spans="1:97"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row>
    <row r="536" spans="1:97"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row>
    <row r="537" spans="1:97"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row>
    <row r="538" spans="1:97"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row>
    <row r="539" spans="1:97"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row>
    <row r="540" spans="1:97"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row>
    <row r="541" spans="1:97"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row>
    <row r="542" spans="1:97"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row>
    <row r="543" spans="1:97"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row>
    <row r="544" spans="1:97"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row>
    <row r="545" spans="1:97"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row>
    <row r="546" spans="1:97"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row>
    <row r="547" spans="1:97"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row>
    <row r="548" spans="1:97"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row>
    <row r="549" spans="1:97"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row>
    <row r="550" spans="1:97"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row>
    <row r="551" spans="1:97"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row>
    <row r="552" spans="1:97"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row>
    <row r="553" spans="1:97"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row>
    <row r="554" spans="1:97"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row>
    <row r="555" spans="1:97"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row>
    <row r="556" spans="1:97"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row>
    <row r="557" spans="1:97"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row>
    <row r="558" spans="1:97"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row>
    <row r="559" spans="1:97"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row>
    <row r="560" spans="1:97"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row>
    <row r="561" spans="1:97"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row>
    <row r="562" spans="1:97"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row>
    <row r="563" spans="1:97"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row>
    <row r="564" spans="1:97"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row>
    <row r="565" spans="1:97"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row>
    <row r="566" spans="1:97"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row>
    <row r="567" spans="1:97"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row>
    <row r="568" spans="1:97"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row>
    <row r="569" spans="1:97"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row>
    <row r="570" spans="1:97"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row>
    <row r="571" spans="1:97"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row>
    <row r="572" spans="1:97"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row>
    <row r="573" spans="1:97"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row>
    <row r="574" spans="1:97"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row>
    <row r="575" spans="1:97"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row>
    <row r="576" spans="1:97"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row>
    <row r="577" spans="1:97"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row>
    <row r="578" spans="1:97"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row>
    <row r="579" spans="1:97"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row>
    <row r="580" spans="1:97"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row>
    <row r="581" spans="1:97"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row>
    <row r="582" spans="1:97"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row>
    <row r="583" spans="1:97"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row>
    <row r="584" spans="1:97"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row>
    <row r="585" spans="1:97"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row>
    <row r="586" spans="1:97"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row>
    <row r="587" spans="1:97"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row>
    <row r="588" spans="1:97"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row>
    <row r="589" spans="1:97"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row>
    <row r="590" spans="1:97"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row>
    <row r="591" spans="1:97"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row>
    <row r="592" spans="1:97"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row>
    <row r="593" spans="1:97"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row>
    <row r="594" spans="1:97"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row>
    <row r="595" spans="1:97"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row>
    <row r="596" spans="1:97"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row>
    <row r="597" spans="1:97"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row>
    <row r="598" spans="1:97"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row>
    <row r="599" spans="1:97"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row>
    <row r="600" spans="1:97"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row>
    <row r="601" spans="1:97"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row>
    <row r="602" spans="1:97"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row>
    <row r="603" spans="1:97"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row>
    <row r="604" spans="1:97"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row>
    <row r="605" spans="1:97"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row>
    <row r="606" spans="1:97"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row>
    <row r="607" spans="1:97"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row>
    <row r="608" spans="1:97"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row>
    <row r="609" spans="1:97"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row>
    <row r="610" spans="1:97"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row>
    <row r="611" spans="1:97"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row>
    <row r="612" spans="1:97"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row>
    <row r="613" spans="1:97"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row>
    <row r="614" spans="1:97"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row>
    <row r="615" spans="1:97"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row>
    <row r="616" spans="1:97"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row>
    <row r="617" spans="1:97"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row>
    <row r="618" spans="1:97"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row>
    <row r="619" spans="1:97"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row>
    <row r="620" spans="1:97"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row>
    <row r="621" spans="1:97"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row>
    <row r="622" spans="1:97"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row>
    <row r="623" spans="1:97"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row>
    <row r="624" spans="1:97"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row>
    <row r="625" spans="1:97"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row>
    <row r="626" spans="1:97"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row>
    <row r="627" spans="1:97"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row>
    <row r="628" spans="1:97"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row>
    <row r="629" spans="1:97"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row>
    <row r="630" spans="1:97"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row>
    <row r="631" spans="1:97"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row>
    <row r="632" spans="1:97"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row>
    <row r="633" spans="1:97"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row>
    <row r="634" spans="1:97"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row>
    <row r="635" spans="1:97"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row>
    <row r="636" spans="1:97"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row>
    <row r="637" spans="1:97"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row>
    <row r="638" spans="1:97"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row>
    <row r="639" spans="1:97"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row>
    <row r="640" spans="1:97"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row>
    <row r="641" spans="1:97"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row>
    <row r="642" spans="1:97"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row>
    <row r="643" spans="1:97"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row>
    <row r="644" spans="1:97"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row>
    <row r="645" spans="1:97"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row>
    <row r="646" spans="1:97"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row>
    <row r="647" spans="1:97"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row>
    <row r="648" spans="1:97"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row>
    <row r="649" spans="1:97"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row>
    <row r="650" spans="1:97"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row>
    <row r="651" spans="1:97"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row>
    <row r="652" spans="1:97"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row>
    <row r="653" spans="1:97"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row>
    <row r="654" spans="1:97"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row>
    <row r="655" spans="1:97"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row>
    <row r="656" spans="1:97"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row>
    <row r="657" spans="1:97"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row>
    <row r="658" spans="1:97"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row>
    <row r="659" spans="1:97"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row>
    <row r="660" spans="1:97"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row>
    <row r="661" spans="1:97"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row>
    <row r="662" spans="1:97"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row>
    <row r="663" spans="1:97"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row>
    <row r="664" spans="1:97"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row>
    <row r="665" spans="1:97"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row>
    <row r="666" spans="1:97"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row>
    <row r="667" spans="1:97"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row>
    <row r="668" spans="1:97"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row>
    <row r="669" spans="1:97"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row>
    <row r="670" spans="1:97"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row>
    <row r="671" spans="1:97"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row>
    <row r="672" spans="1:97"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row>
    <row r="673" spans="1:97"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row>
    <row r="674" spans="1:97"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row>
    <row r="675" spans="1:97"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row>
    <row r="676" spans="1:97"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row>
    <row r="677" spans="1:97"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row>
    <row r="678" spans="1:97"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row>
    <row r="679" spans="1:97"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row>
    <row r="680" spans="1:97"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row>
    <row r="681" spans="1:97"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row>
    <row r="682" spans="1:97"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row>
    <row r="683" spans="1:97"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row>
    <row r="684" spans="1:97"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row>
    <row r="685" spans="1:97"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row>
    <row r="686" spans="1:97"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row>
    <row r="687" spans="1:97"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row>
    <row r="688" spans="1:97"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row>
    <row r="689" spans="1:97"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row>
    <row r="690" spans="1:97"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row>
    <row r="691" spans="1:97"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row>
    <row r="692" spans="1:97"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row>
    <row r="693" spans="1:97"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row>
    <row r="694" spans="1:97"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row>
    <row r="695" spans="1:97"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row>
    <row r="696" spans="1:97"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row>
    <row r="697" spans="1:97"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row>
    <row r="698" spans="1:97"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row>
    <row r="699" spans="1:97"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row>
    <row r="700" spans="1:97"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row>
    <row r="701" spans="1:97"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row>
    <row r="702" spans="1:97"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row>
    <row r="703" spans="1:97"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row>
    <row r="704" spans="1:97"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row>
    <row r="705" spans="1:97"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row>
    <row r="706" spans="1:97"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row>
    <row r="707" spans="1:97"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row>
    <row r="708" spans="1:97"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row>
    <row r="709" spans="1:97"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row>
    <row r="710" spans="1:97"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row>
    <row r="711" spans="1:97"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row>
    <row r="712" spans="1:97"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row>
    <row r="713" spans="1:97"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row>
    <row r="714" spans="1:97"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row>
    <row r="715" spans="1:97"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row>
    <row r="716" spans="1:97"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row>
    <row r="717" spans="1:97"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row>
    <row r="718" spans="1:97"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row>
    <row r="719" spans="1:97"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row>
    <row r="720" spans="1:97"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row>
    <row r="721" spans="1:97"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row>
    <row r="722" spans="1:97"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row>
    <row r="723" spans="1:97"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row>
    <row r="724" spans="1:97"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row>
    <row r="725" spans="1:97"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row>
    <row r="726" spans="1:97"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row>
    <row r="727" spans="1:97"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row>
    <row r="728" spans="1:97"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row>
    <row r="729" spans="1:97"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row>
    <row r="730" spans="1:97"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row>
    <row r="731" spans="1:97"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row>
    <row r="732" spans="1:97"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row>
    <row r="733" spans="1:97"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row>
    <row r="734" spans="1:97"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row>
    <row r="735" spans="1:97"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row>
    <row r="736" spans="1:97"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row>
    <row r="737" spans="1:97"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row>
    <row r="738" spans="1:97"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row>
    <row r="739" spans="1:97"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row>
    <row r="740" spans="1:97"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row>
    <row r="741" spans="1:97"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row>
    <row r="742" spans="1:97"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row>
    <row r="743" spans="1:97"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row>
    <row r="744" spans="1:97"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row>
    <row r="745" spans="1:97"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row>
    <row r="746" spans="1:97"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row>
    <row r="747" spans="1:97"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row>
    <row r="748" spans="1:97"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row>
    <row r="749" spans="1:97"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row>
    <row r="750" spans="1:97"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row>
    <row r="751" spans="1:97"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row>
    <row r="752" spans="1:97"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row>
    <row r="753" spans="1:97"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row>
    <row r="754" spans="1:97"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row>
    <row r="755" spans="1:97"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row>
    <row r="756" spans="1:97"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row>
    <row r="757" spans="1:97"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row>
    <row r="758" spans="1:97"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row>
    <row r="759" spans="1:97"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row>
    <row r="760" spans="1:97"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row>
    <row r="761" spans="1:97"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row>
    <row r="762" spans="1:97"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row>
    <row r="763" spans="1:97"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row>
    <row r="764" spans="1:97"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row>
    <row r="765" spans="1:97"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row>
    <row r="766" spans="1:97"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row>
    <row r="767" spans="1:97"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row>
    <row r="768" spans="1:97"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row>
    <row r="769" spans="1:97"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row>
    <row r="770" spans="1:97"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row>
    <row r="771" spans="1:97"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row>
    <row r="772" spans="1:97"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row>
    <row r="773" spans="1:97"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row>
    <row r="774" spans="1:97"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row>
    <row r="775" spans="1:97"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row>
    <row r="776" spans="1:97"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row>
    <row r="777" spans="1:97"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row>
    <row r="778" spans="1:97"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row>
    <row r="779" spans="1:97"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row>
    <row r="780" spans="1:97"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row>
    <row r="781" spans="1:97"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row>
    <row r="782" spans="1:97"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row>
    <row r="783" spans="1:97"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row>
    <row r="784" spans="1:97"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row>
    <row r="785" spans="1:97"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row>
    <row r="786" spans="1:97"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row>
    <row r="787" spans="1:97"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row>
    <row r="788" spans="1:97"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row>
    <row r="789" spans="1:97"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row>
    <row r="790" spans="1:97"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row>
    <row r="791" spans="1:97"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row>
    <row r="792" spans="1:97"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row>
    <row r="793" spans="1:97"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row>
    <row r="794" spans="1:97"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row>
    <row r="795" spans="1:97"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row>
    <row r="796" spans="1:97"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row>
    <row r="797" spans="1:97"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row>
    <row r="798" spans="1:97"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row>
    <row r="799" spans="1:97"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row>
    <row r="800" spans="1:97"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row>
    <row r="801" spans="1:97"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row>
    <row r="802" spans="1:97"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row>
    <row r="803" spans="1:97"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row>
    <row r="804" spans="1:97"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row>
    <row r="805" spans="1:97"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row>
    <row r="806" spans="1:97"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row>
    <row r="807" spans="1:97"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row>
    <row r="808" spans="1:97"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row>
    <row r="809" spans="1:97"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row>
    <row r="810" spans="1:97"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row>
    <row r="811" spans="1:97"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row>
    <row r="812" spans="1:97"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row>
    <row r="813" spans="1:97"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row>
    <row r="814" spans="1:97"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row>
    <row r="815" spans="1:97"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row>
    <row r="816" spans="1:97"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row>
    <row r="817" spans="1:97"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row>
    <row r="818" spans="1:97"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row>
    <row r="819" spans="1:97"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row>
    <row r="820" spans="1:97"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row>
    <row r="821" spans="1:97"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row>
    <row r="822" spans="1:97"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row>
    <row r="823" spans="1:97"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row>
    <row r="824" spans="1:97"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row>
    <row r="825" spans="1:97"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row>
    <row r="826" spans="1:97"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row>
    <row r="827" spans="1:97"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row>
    <row r="828" spans="1:97"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row>
    <row r="829" spans="1:97"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row>
    <row r="830" spans="1:97"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row>
    <row r="831" spans="1:97"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row>
    <row r="832" spans="1:97"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row>
    <row r="833" spans="1:97"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row>
    <row r="834" spans="1:97"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row>
    <row r="835" spans="1:97"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row>
    <row r="836" spans="1:97"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row>
    <row r="837" spans="1:97"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row>
    <row r="838" spans="1:97"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row>
    <row r="839" spans="1:97"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row>
    <row r="840" spans="1:97"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row>
    <row r="841" spans="1:97"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row>
    <row r="842" spans="1:97"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row>
    <row r="843" spans="1:97"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row>
    <row r="844" spans="1:97"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row>
    <row r="845" spans="1:97"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row>
    <row r="846" spans="1:97"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row>
    <row r="847" spans="1:97"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row>
    <row r="848" spans="1:97"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row>
    <row r="849" spans="1:97"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row>
    <row r="850" spans="1:97"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row>
    <row r="851" spans="1:97"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row>
    <row r="852" spans="1:97"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row>
    <row r="853" spans="1:97"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row>
    <row r="854" spans="1:97"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row>
    <row r="855" spans="1:97"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row>
    <row r="856" spans="1:97"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row>
    <row r="857" spans="1:97"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row>
    <row r="858" spans="1:97"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row>
    <row r="859" spans="1:97"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row>
    <row r="860" spans="1:97"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row>
    <row r="861" spans="1:97"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row>
    <row r="862" spans="1:97"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row>
    <row r="863" spans="1:97"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row>
    <row r="864" spans="1:97"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row>
    <row r="865" spans="1:97"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row>
    <row r="866" spans="1:97"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row>
    <row r="867" spans="1:97"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row>
    <row r="868" spans="1:97"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row>
    <row r="869" spans="1:97"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row>
    <row r="870" spans="1:97"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row>
    <row r="871" spans="1:97"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row>
    <row r="872" spans="1:97"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row>
    <row r="873" spans="1:97"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row>
    <row r="874" spans="1:97"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row>
    <row r="875" spans="1:97"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row>
    <row r="876" spans="1:97"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row>
    <row r="877" spans="1:97"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row>
    <row r="878" spans="1:97"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row>
    <row r="879" spans="1:97"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row>
    <row r="880" spans="1:97"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row>
    <row r="881" spans="1:97"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row>
    <row r="882" spans="1:97"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row>
    <row r="883" spans="1:97"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row>
    <row r="884" spans="1:97"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row>
    <row r="885" spans="1:97"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row>
    <row r="886" spans="1:97"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row>
    <row r="887" spans="1:97"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row>
    <row r="888" spans="1:97"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row>
    <row r="889" spans="1:97"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row>
    <row r="890" spans="1:97"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row>
    <row r="891" spans="1:97"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row>
    <row r="892" spans="1:97"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row>
    <row r="893" spans="1:97"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row>
    <row r="894" spans="1:97"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row>
    <row r="895" spans="1:97"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row>
    <row r="896" spans="1:97"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row>
    <row r="897" spans="1:97"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row>
    <row r="898" spans="1:97"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row>
    <row r="899" spans="1:97"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row>
    <row r="900" spans="1:97"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row>
    <row r="901" spans="1:97"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row>
    <row r="902" spans="1:97"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row>
    <row r="903" spans="1:97"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row>
    <row r="904" spans="1:97"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row>
    <row r="905" spans="1:97"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row>
    <row r="906" spans="1:97"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row>
    <row r="907" spans="1:97"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row>
    <row r="908" spans="1:97"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row>
    <row r="909" spans="1:97"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row>
    <row r="910" spans="1:97"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row>
    <row r="911" spans="1:97"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row>
    <row r="912" spans="1:97"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row>
    <row r="913" spans="1:97"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row>
    <row r="914" spans="1:97"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row>
    <row r="915" spans="1:97"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row>
    <row r="916" spans="1:97"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row>
    <row r="917" spans="1:97"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row>
    <row r="918" spans="1:97"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row>
    <row r="919" spans="1:97"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row>
    <row r="920" spans="1:97"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row>
    <row r="921" spans="1:97"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row>
    <row r="922" spans="1:97"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row>
    <row r="923" spans="1:97"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row>
    <row r="924" spans="1:97"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row>
    <row r="925" spans="1:97"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row>
    <row r="926" spans="1:97"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row>
    <row r="927" spans="1:97"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row>
    <row r="928" spans="1:97"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row>
    <row r="929" spans="1:97"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row>
    <row r="930" spans="1:97"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row>
    <row r="931" spans="1:97"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row>
    <row r="932" spans="1:97"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row>
    <row r="933" spans="1:97"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row>
    <row r="934" spans="1:97"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row>
    <row r="935" spans="1:97"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row>
    <row r="936" spans="1:97"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row>
    <row r="937" spans="1:97"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row>
    <row r="938" spans="1:97"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row>
    <row r="939" spans="1:97"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row>
    <row r="940" spans="1:97"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row>
    <row r="941" spans="1:97"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row>
    <row r="942" spans="1:97"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row>
    <row r="943" spans="1:97"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row>
    <row r="944" spans="1:97"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row>
    <row r="945" spans="1:97"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row>
    <row r="946" spans="1:97"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row>
    <row r="947" spans="1:97"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row>
    <row r="948" spans="1:97"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row>
    <row r="949" spans="1:97"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row>
    <row r="950" spans="1:97"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row>
    <row r="951" spans="1:97"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row>
    <row r="952" spans="1:97"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row>
    <row r="953" spans="1:97"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row>
    <row r="954" spans="1:97"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row>
    <row r="955" spans="1:97"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row>
    <row r="956" spans="1:97"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row>
    <row r="957" spans="1:97"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row>
    <row r="958" spans="1:97"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row>
    <row r="959" spans="1:97"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row>
    <row r="960" spans="1:97"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row>
    <row r="961" spans="1:97"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row>
    <row r="962" spans="1:97"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row>
    <row r="963" spans="1:97"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row>
    <row r="964" spans="1:97"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row>
    <row r="965" spans="1:97"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row>
    <row r="966" spans="1:97"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row>
    <row r="967" spans="1:97"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row>
    <row r="968" spans="1:97"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row>
    <row r="969" spans="1:97"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row>
    <row r="970" spans="1:97"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row>
    <row r="971" spans="1:97"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row>
    <row r="972" spans="1:97"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row>
    <row r="973" spans="1:97"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row>
    <row r="974" spans="1:97"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row>
    <row r="975" spans="1:97"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row>
    <row r="976" spans="1:97"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row>
    <row r="977" spans="1:97"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row>
    <row r="978" spans="1:97"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row>
    <row r="979" spans="1:97"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row>
    <row r="980" spans="1:97"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row>
    <row r="981" spans="1:97"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row>
    <row r="982" spans="1:97"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row>
    <row r="983" spans="1:97"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row>
    <row r="984" spans="1:97"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row>
    <row r="985" spans="1:97"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row>
    <row r="986" spans="1:97"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row>
    <row r="987" spans="1:97"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row>
    <row r="988" spans="1:97"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row>
    <row r="989" spans="1:97"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row>
    <row r="990" spans="1:97"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row>
    <row r="991" spans="1:97"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row>
    <row r="992" spans="1:97"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row>
    <row r="993" spans="1:97"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row>
    <row r="994" spans="1:97"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row>
    <row r="995" spans="1:97"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row>
    <row r="996" spans="1:97"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row>
    <row r="997" spans="1:97"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row>
    <row r="998" spans="1:97"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row>
    <row r="999" spans="1:97"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row>
    <row r="1000" spans="1:97"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row>
  </sheetData>
  <mergeCells count="35">
    <mergeCell ref="BT303:BX303"/>
    <mergeCell ref="CE304:CH304"/>
    <mergeCell ref="CE310:CH310"/>
    <mergeCell ref="CE317:CH317"/>
    <mergeCell ref="CE289:CH289"/>
    <mergeCell ref="BT292:BX292"/>
    <mergeCell ref="BT297:BX297"/>
    <mergeCell ref="CE297:CH297"/>
    <mergeCell ref="BT298:BX298"/>
    <mergeCell ref="BT299:BX299"/>
    <mergeCell ref="CE281:CH281"/>
    <mergeCell ref="B35:F35"/>
    <mergeCell ref="B36:F36"/>
    <mergeCell ref="B39:F39"/>
    <mergeCell ref="B40:F40"/>
    <mergeCell ref="E55:F55"/>
    <mergeCell ref="B57:F57"/>
    <mergeCell ref="B62:F62"/>
    <mergeCell ref="B64:D64"/>
    <mergeCell ref="E64:F64"/>
    <mergeCell ref="D66:E66"/>
    <mergeCell ref="BT265:BX265"/>
    <mergeCell ref="K16:AV18"/>
    <mergeCell ref="D18:F18"/>
    <mergeCell ref="D33:E33"/>
    <mergeCell ref="B1:F1"/>
    <mergeCell ref="B4:F4"/>
    <mergeCell ref="C6:F6"/>
    <mergeCell ref="B12:F12"/>
    <mergeCell ref="E16:F16"/>
    <mergeCell ref="D19:F20"/>
    <mergeCell ref="B22:F22"/>
    <mergeCell ref="B26:F26"/>
    <mergeCell ref="D28:F28"/>
    <mergeCell ref="D29:F29"/>
  </mergeCells>
  <conditionalFormatting sqref="F42:F46">
    <cfRule type="cellIs" dxfId="6" priority="1" operator="between">
      <formula>$C42</formula>
      <formula>$E42</formula>
    </cfRule>
  </conditionalFormatting>
  <conditionalFormatting sqref="B62:D66 E62:F63 E65:F66">
    <cfRule type="expression" dxfId="5" priority="2">
      <formula>OR($F$8="NÃO",$F$8="")</formula>
    </cfRule>
  </conditionalFormatting>
  <conditionalFormatting sqref="E55:F55">
    <cfRule type="expression" dxfId="4" priority="3">
      <formula>$F$8="SIM"</formula>
    </cfRule>
  </conditionalFormatting>
  <conditionalFormatting sqref="E64:F64">
    <cfRule type="expression" dxfId="3" priority="4">
      <formula>OR($F$8="NÃO",$F$8="")</formula>
    </cfRule>
  </conditionalFormatting>
  <conditionalFormatting sqref="B22 B23:E27 F23 F25:F27">
    <cfRule type="expression" dxfId="2" priority="5">
      <formula>OR($E$16=$CE$276,$E$16="")</formula>
    </cfRule>
  </conditionalFormatting>
  <conditionalFormatting sqref="F24">
    <cfRule type="expression" dxfId="1" priority="6">
      <formula>OR($E$16=$CE$276,$E$16="")</formula>
    </cfRule>
  </conditionalFormatting>
  <conditionalFormatting sqref="F24">
    <cfRule type="cellIs" dxfId="0" priority="7" operator="notBetween">
      <formula>$C$24</formula>
      <formula>$D$24</formula>
    </cfRule>
  </conditionalFormatting>
  <dataValidations count="6">
    <dataValidation type="list" allowBlank="1" showInputMessage="1" showErrorMessage="1" prompt=" - " sqref="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xr:uid="{00000000-0002-0000-0200-000000000000}">
      <formula1>$CE$276:$CE$277</formula1>
    </dataValidation>
    <dataValidation type="decimal" allowBlank="1" showInputMessage="1" showErrorMessage="1" prompt=" - " sqref="F42:F46 JB42:JB46 SX42:SX46 ACT42:ACT46 AMP42:AMP46 AWL42:AWL46 BGH42:BGH46 BQD42:BQD46 BZZ42:BZZ46 CJV42:CJV46 CTR42:CTR46 DDN42:DDN46 DNJ42:DNJ46 DXF42:DXF46 EHB42:EHB46 EQX42:EQX46 FAT42:FAT46 FKP42:FKP46 FUL42:FUL46 GEH42:GEH46 GOD42:GOD46 GXZ42:GXZ46 HHV42:HHV46 HRR42:HRR46 IBN42:IBN46 ILJ42:ILJ46 IVF42:IVF46 JFB42:JFB46 JOX42:JOX46 JYT42:JYT46 KIP42:KIP46 KSL42:KSL46 LCH42:LCH46 LMD42:LMD46 LVZ42:LVZ46 MFV42:MFV46 MPR42:MPR46 MZN42:MZN46 NJJ42:NJJ46 NTF42:NTF46 ODB42:ODB46 OMX42:OMX46 OWT42:OWT46 PGP42:PGP46 PQL42:PQL46 QAH42:QAH46 QKD42:QKD46 QTZ42:QTZ46 RDV42:RDV46 RNR42:RNR46 RXN42:RXN46 SHJ42:SHJ46 SRF42:SRF46 TBB42:TBB46 TKX42:TKX46 TUT42:TUT46 UEP42:UEP46 UOL42:UOL46 UYH42:UYH46 VID42:VID46 VRZ42:VRZ46 WBV42:WBV46 WLR42:WLR46 WVN42:WVN46 F65578:F65582 JB65578:JB65582 SX65578:SX65582 ACT65578:ACT65582 AMP65578:AMP65582 AWL65578:AWL65582 BGH65578:BGH65582 BQD65578:BQD65582 BZZ65578:BZZ65582 CJV65578:CJV65582 CTR65578:CTR65582 DDN65578:DDN65582 DNJ65578:DNJ65582 DXF65578:DXF65582 EHB65578:EHB65582 EQX65578:EQX65582 FAT65578:FAT65582 FKP65578:FKP65582 FUL65578:FUL65582 GEH65578:GEH65582 GOD65578:GOD65582 GXZ65578:GXZ65582 HHV65578:HHV65582 HRR65578:HRR65582 IBN65578:IBN65582 ILJ65578:ILJ65582 IVF65578:IVF65582 JFB65578:JFB65582 JOX65578:JOX65582 JYT65578:JYT65582 KIP65578:KIP65582 KSL65578:KSL65582 LCH65578:LCH65582 LMD65578:LMD65582 LVZ65578:LVZ65582 MFV65578:MFV65582 MPR65578:MPR65582 MZN65578:MZN65582 NJJ65578:NJJ65582 NTF65578:NTF65582 ODB65578:ODB65582 OMX65578:OMX65582 OWT65578:OWT65582 PGP65578:PGP65582 PQL65578:PQL65582 QAH65578:QAH65582 QKD65578:QKD65582 QTZ65578:QTZ65582 RDV65578:RDV65582 RNR65578:RNR65582 RXN65578:RXN65582 SHJ65578:SHJ65582 SRF65578:SRF65582 TBB65578:TBB65582 TKX65578:TKX65582 TUT65578:TUT65582 UEP65578:UEP65582 UOL65578:UOL65582 UYH65578:UYH65582 VID65578:VID65582 VRZ65578:VRZ65582 WBV65578:WBV65582 WLR65578:WLR65582 WVN65578:WVN65582 F131114:F131118 JB131114:JB131118 SX131114:SX131118 ACT131114:ACT131118 AMP131114:AMP131118 AWL131114:AWL131118 BGH131114:BGH131118 BQD131114:BQD131118 BZZ131114:BZZ131118 CJV131114:CJV131118 CTR131114:CTR131118 DDN131114:DDN131118 DNJ131114:DNJ131118 DXF131114:DXF131118 EHB131114:EHB131118 EQX131114:EQX131118 FAT131114:FAT131118 FKP131114:FKP131118 FUL131114:FUL131118 GEH131114:GEH131118 GOD131114:GOD131118 GXZ131114:GXZ131118 HHV131114:HHV131118 HRR131114:HRR131118 IBN131114:IBN131118 ILJ131114:ILJ131118 IVF131114:IVF131118 JFB131114:JFB131118 JOX131114:JOX131118 JYT131114:JYT131118 KIP131114:KIP131118 KSL131114:KSL131118 LCH131114:LCH131118 LMD131114:LMD131118 LVZ131114:LVZ131118 MFV131114:MFV131118 MPR131114:MPR131118 MZN131114:MZN131118 NJJ131114:NJJ131118 NTF131114:NTF131118 ODB131114:ODB131118 OMX131114:OMX131118 OWT131114:OWT131118 PGP131114:PGP131118 PQL131114:PQL131118 QAH131114:QAH131118 QKD131114:QKD131118 QTZ131114:QTZ131118 RDV131114:RDV131118 RNR131114:RNR131118 RXN131114:RXN131118 SHJ131114:SHJ131118 SRF131114:SRF131118 TBB131114:TBB131118 TKX131114:TKX131118 TUT131114:TUT131118 UEP131114:UEP131118 UOL131114:UOL131118 UYH131114:UYH131118 VID131114:VID131118 VRZ131114:VRZ131118 WBV131114:WBV131118 WLR131114:WLR131118 WVN131114:WVN131118 F196650:F196654 JB196650:JB196654 SX196650:SX196654 ACT196650:ACT196654 AMP196650:AMP196654 AWL196650:AWL196654 BGH196650:BGH196654 BQD196650:BQD196654 BZZ196650:BZZ196654 CJV196650:CJV196654 CTR196650:CTR196654 DDN196650:DDN196654 DNJ196650:DNJ196654 DXF196650:DXF196654 EHB196650:EHB196654 EQX196650:EQX196654 FAT196650:FAT196654 FKP196650:FKP196654 FUL196650:FUL196654 GEH196650:GEH196654 GOD196650:GOD196654 GXZ196650:GXZ196654 HHV196650:HHV196654 HRR196650:HRR196654 IBN196650:IBN196654 ILJ196650:ILJ196654 IVF196650:IVF196654 JFB196650:JFB196654 JOX196650:JOX196654 JYT196650:JYT196654 KIP196650:KIP196654 KSL196650:KSL196654 LCH196650:LCH196654 LMD196650:LMD196654 LVZ196650:LVZ196654 MFV196650:MFV196654 MPR196650:MPR196654 MZN196650:MZN196654 NJJ196650:NJJ196654 NTF196650:NTF196654 ODB196650:ODB196654 OMX196650:OMX196654 OWT196650:OWT196654 PGP196650:PGP196654 PQL196650:PQL196654 QAH196650:QAH196654 QKD196650:QKD196654 QTZ196650:QTZ196654 RDV196650:RDV196654 RNR196650:RNR196654 RXN196650:RXN196654 SHJ196650:SHJ196654 SRF196650:SRF196654 TBB196650:TBB196654 TKX196650:TKX196654 TUT196650:TUT196654 UEP196650:UEP196654 UOL196650:UOL196654 UYH196650:UYH196654 VID196650:VID196654 VRZ196650:VRZ196654 WBV196650:WBV196654 WLR196650:WLR196654 WVN196650:WVN196654 F262186:F262190 JB262186:JB262190 SX262186:SX262190 ACT262186:ACT262190 AMP262186:AMP262190 AWL262186:AWL262190 BGH262186:BGH262190 BQD262186:BQD262190 BZZ262186:BZZ262190 CJV262186:CJV262190 CTR262186:CTR262190 DDN262186:DDN262190 DNJ262186:DNJ262190 DXF262186:DXF262190 EHB262186:EHB262190 EQX262186:EQX262190 FAT262186:FAT262190 FKP262186:FKP262190 FUL262186:FUL262190 GEH262186:GEH262190 GOD262186:GOD262190 GXZ262186:GXZ262190 HHV262186:HHV262190 HRR262186:HRR262190 IBN262186:IBN262190 ILJ262186:ILJ262190 IVF262186:IVF262190 JFB262186:JFB262190 JOX262186:JOX262190 JYT262186:JYT262190 KIP262186:KIP262190 KSL262186:KSL262190 LCH262186:LCH262190 LMD262186:LMD262190 LVZ262186:LVZ262190 MFV262186:MFV262190 MPR262186:MPR262190 MZN262186:MZN262190 NJJ262186:NJJ262190 NTF262186:NTF262190 ODB262186:ODB262190 OMX262186:OMX262190 OWT262186:OWT262190 PGP262186:PGP262190 PQL262186:PQL262190 QAH262186:QAH262190 QKD262186:QKD262190 QTZ262186:QTZ262190 RDV262186:RDV262190 RNR262186:RNR262190 RXN262186:RXN262190 SHJ262186:SHJ262190 SRF262186:SRF262190 TBB262186:TBB262190 TKX262186:TKX262190 TUT262186:TUT262190 UEP262186:UEP262190 UOL262186:UOL262190 UYH262186:UYH262190 VID262186:VID262190 VRZ262186:VRZ262190 WBV262186:WBV262190 WLR262186:WLR262190 WVN262186:WVN262190 F327722:F327726 JB327722:JB327726 SX327722:SX327726 ACT327722:ACT327726 AMP327722:AMP327726 AWL327722:AWL327726 BGH327722:BGH327726 BQD327722:BQD327726 BZZ327722:BZZ327726 CJV327722:CJV327726 CTR327722:CTR327726 DDN327722:DDN327726 DNJ327722:DNJ327726 DXF327722:DXF327726 EHB327722:EHB327726 EQX327722:EQX327726 FAT327722:FAT327726 FKP327722:FKP327726 FUL327722:FUL327726 GEH327722:GEH327726 GOD327722:GOD327726 GXZ327722:GXZ327726 HHV327722:HHV327726 HRR327722:HRR327726 IBN327722:IBN327726 ILJ327722:ILJ327726 IVF327722:IVF327726 JFB327722:JFB327726 JOX327722:JOX327726 JYT327722:JYT327726 KIP327722:KIP327726 KSL327722:KSL327726 LCH327722:LCH327726 LMD327722:LMD327726 LVZ327722:LVZ327726 MFV327722:MFV327726 MPR327722:MPR327726 MZN327722:MZN327726 NJJ327722:NJJ327726 NTF327722:NTF327726 ODB327722:ODB327726 OMX327722:OMX327726 OWT327722:OWT327726 PGP327722:PGP327726 PQL327722:PQL327726 QAH327722:QAH327726 QKD327722:QKD327726 QTZ327722:QTZ327726 RDV327722:RDV327726 RNR327722:RNR327726 RXN327722:RXN327726 SHJ327722:SHJ327726 SRF327722:SRF327726 TBB327722:TBB327726 TKX327722:TKX327726 TUT327722:TUT327726 UEP327722:UEP327726 UOL327722:UOL327726 UYH327722:UYH327726 VID327722:VID327726 VRZ327722:VRZ327726 WBV327722:WBV327726 WLR327722:WLR327726 WVN327722:WVN327726 F393258:F393262 JB393258:JB393262 SX393258:SX393262 ACT393258:ACT393262 AMP393258:AMP393262 AWL393258:AWL393262 BGH393258:BGH393262 BQD393258:BQD393262 BZZ393258:BZZ393262 CJV393258:CJV393262 CTR393258:CTR393262 DDN393258:DDN393262 DNJ393258:DNJ393262 DXF393258:DXF393262 EHB393258:EHB393262 EQX393258:EQX393262 FAT393258:FAT393262 FKP393258:FKP393262 FUL393258:FUL393262 GEH393258:GEH393262 GOD393258:GOD393262 GXZ393258:GXZ393262 HHV393258:HHV393262 HRR393258:HRR393262 IBN393258:IBN393262 ILJ393258:ILJ393262 IVF393258:IVF393262 JFB393258:JFB393262 JOX393258:JOX393262 JYT393258:JYT393262 KIP393258:KIP393262 KSL393258:KSL393262 LCH393258:LCH393262 LMD393258:LMD393262 LVZ393258:LVZ393262 MFV393258:MFV393262 MPR393258:MPR393262 MZN393258:MZN393262 NJJ393258:NJJ393262 NTF393258:NTF393262 ODB393258:ODB393262 OMX393258:OMX393262 OWT393258:OWT393262 PGP393258:PGP393262 PQL393258:PQL393262 QAH393258:QAH393262 QKD393258:QKD393262 QTZ393258:QTZ393262 RDV393258:RDV393262 RNR393258:RNR393262 RXN393258:RXN393262 SHJ393258:SHJ393262 SRF393258:SRF393262 TBB393258:TBB393262 TKX393258:TKX393262 TUT393258:TUT393262 UEP393258:UEP393262 UOL393258:UOL393262 UYH393258:UYH393262 VID393258:VID393262 VRZ393258:VRZ393262 WBV393258:WBV393262 WLR393258:WLR393262 WVN393258:WVN393262 F458794:F458798 JB458794:JB458798 SX458794:SX458798 ACT458794:ACT458798 AMP458794:AMP458798 AWL458794:AWL458798 BGH458794:BGH458798 BQD458794:BQD458798 BZZ458794:BZZ458798 CJV458794:CJV458798 CTR458794:CTR458798 DDN458794:DDN458798 DNJ458794:DNJ458798 DXF458794:DXF458798 EHB458794:EHB458798 EQX458794:EQX458798 FAT458794:FAT458798 FKP458794:FKP458798 FUL458794:FUL458798 GEH458794:GEH458798 GOD458794:GOD458798 GXZ458794:GXZ458798 HHV458794:HHV458798 HRR458794:HRR458798 IBN458794:IBN458798 ILJ458794:ILJ458798 IVF458794:IVF458798 JFB458794:JFB458798 JOX458794:JOX458798 JYT458794:JYT458798 KIP458794:KIP458798 KSL458794:KSL458798 LCH458794:LCH458798 LMD458794:LMD458798 LVZ458794:LVZ458798 MFV458794:MFV458798 MPR458794:MPR458798 MZN458794:MZN458798 NJJ458794:NJJ458798 NTF458794:NTF458798 ODB458794:ODB458798 OMX458794:OMX458798 OWT458794:OWT458798 PGP458794:PGP458798 PQL458794:PQL458798 QAH458794:QAH458798 QKD458794:QKD458798 QTZ458794:QTZ458798 RDV458794:RDV458798 RNR458794:RNR458798 RXN458794:RXN458798 SHJ458794:SHJ458798 SRF458794:SRF458798 TBB458794:TBB458798 TKX458794:TKX458798 TUT458794:TUT458798 UEP458794:UEP458798 UOL458794:UOL458798 UYH458794:UYH458798 VID458794:VID458798 VRZ458794:VRZ458798 WBV458794:WBV458798 WLR458794:WLR458798 WVN458794:WVN458798 F524330:F524334 JB524330:JB524334 SX524330:SX524334 ACT524330:ACT524334 AMP524330:AMP524334 AWL524330:AWL524334 BGH524330:BGH524334 BQD524330:BQD524334 BZZ524330:BZZ524334 CJV524330:CJV524334 CTR524330:CTR524334 DDN524330:DDN524334 DNJ524330:DNJ524334 DXF524330:DXF524334 EHB524330:EHB524334 EQX524330:EQX524334 FAT524330:FAT524334 FKP524330:FKP524334 FUL524330:FUL524334 GEH524330:GEH524334 GOD524330:GOD524334 GXZ524330:GXZ524334 HHV524330:HHV524334 HRR524330:HRR524334 IBN524330:IBN524334 ILJ524330:ILJ524334 IVF524330:IVF524334 JFB524330:JFB524334 JOX524330:JOX524334 JYT524330:JYT524334 KIP524330:KIP524334 KSL524330:KSL524334 LCH524330:LCH524334 LMD524330:LMD524334 LVZ524330:LVZ524334 MFV524330:MFV524334 MPR524330:MPR524334 MZN524330:MZN524334 NJJ524330:NJJ524334 NTF524330:NTF524334 ODB524330:ODB524334 OMX524330:OMX524334 OWT524330:OWT524334 PGP524330:PGP524334 PQL524330:PQL524334 QAH524330:QAH524334 QKD524330:QKD524334 QTZ524330:QTZ524334 RDV524330:RDV524334 RNR524330:RNR524334 RXN524330:RXN524334 SHJ524330:SHJ524334 SRF524330:SRF524334 TBB524330:TBB524334 TKX524330:TKX524334 TUT524330:TUT524334 UEP524330:UEP524334 UOL524330:UOL524334 UYH524330:UYH524334 VID524330:VID524334 VRZ524330:VRZ524334 WBV524330:WBV524334 WLR524330:WLR524334 WVN524330:WVN524334 F589866:F589870 JB589866:JB589870 SX589866:SX589870 ACT589866:ACT589870 AMP589866:AMP589870 AWL589866:AWL589870 BGH589866:BGH589870 BQD589866:BQD589870 BZZ589866:BZZ589870 CJV589866:CJV589870 CTR589866:CTR589870 DDN589866:DDN589870 DNJ589866:DNJ589870 DXF589866:DXF589870 EHB589866:EHB589870 EQX589866:EQX589870 FAT589866:FAT589870 FKP589866:FKP589870 FUL589866:FUL589870 GEH589866:GEH589870 GOD589866:GOD589870 GXZ589866:GXZ589870 HHV589866:HHV589870 HRR589866:HRR589870 IBN589866:IBN589870 ILJ589866:ILJ589870 IVF589866:IVF589870 JFB589866:JFB589870 JOX589866:JOX589870 JYT589866:JYT589870 KIP589866:KIP589870 KSL589866:KSL589870 LCH589866:LCH589870 LMD589866:LMD589870 LVZ589866:LVZ589870 MFV589866:MFV589870 MPR589866:MPR589870 MZN589866:MZN589870 NJJ589866:NJJ589870 NTF589866:NTF589870 ODB589866:ODB589870 OMX589866:OMX589870 OWT589866:OWT589870 PGP589866:PGP589870 PQL589866:PQL589870 QAH589866:QAH589870 QKD589866:QKD589870 QTZ589866:QTZ589870 RDV589866:RDV589870 RNR589866:RNR589870 RXN589866:RXN589870 SHJ589866:SHJ589870 SRF589866:SRF589870 TBB589866:TBB589870 TKX589866:TKX589870 TUT589866:TUT589870 UEP589866:UEP589870 UOL589866:UOL589870 UYH589866:UYH589870 VID589866:VID589870 VRZ589866:VRZ589870 WBV589866:WBV589870 WLR589866:WLR589870 WVN589866:WVN589870 F655402:F655406 JB655402:JB655406 SX655402:SX655406 ACT655402:ACT655406 AMP655402:AMP655406 AWL655402:AWL655406 BGH655402:BGH655406 BQD655402:BQD655406 BZZ655402:BZZ655406 CJV655402:CJV655406 CTR655402:CTR655406 DDN655402:DDN655406 DNJ655402:DNJ655406 DXF655402:DXF655406 EHB655402:EHB655406 EQX655402:EQX655406 FAT655402:FAT655406 FKP655402:FKP655406 FUL655402:FUL655406 GEH655402:GEH655406 GOD655402:GOD655406 GXZ655402:GXZ655406 HHV655402:HHV655406 HRR655402:HRR655406 IBN655402:IBN655406 ILJ655402:ILJ655406 IVF655402:IVF655406 JFB655402:JFB655406 JOX655402:JOX655406 JYT655402:JYT655406 KIP655402:KIP655406 KSL655402:KSL655406 LCH655402:LCH655406 LMD655402:LMD655406 LVZ655402:LVZ655406 MFV655402:MFV655406 MPR655402:MPR655406 MZN655402:MZN655406 NJJ655402:NJJ655406 NTF655402:NTF655406 ODB655402:ODB655406 OMX655402:OMX655406 OWT655402:OWT655406 PGP655402:PGP655406 PQL655402:PQL655406 QAH655402:QAH655406 QKD655402:QKD655406 QTZ655402:QTZ655406 RDV655402:RDV655406 RNR655402:RNR655406 RXN655402:RXN655406 SHJ655402:SHJ655406 SRF655402:SRF655406 TBB655402:TBB655406 TKX655402:TKX655406 TUT655402:TUT655406 UEP655402:UEP655406 UOL655402:UOL655406 UYH655402:UYH655406 VID655402:VID655406 VRZ655402:VRZ655406 WBV655402:WBV655406 WLR655402:WLR655406 WVN655402:WVN655406 F720938:F720942 JB720938:JB720942 SX720938:SX720942 ACT720938:ACT720942 AMP720938:AMP720942 AWL720938:AWL720942 BGH720938:BGH720942 BQD720938:BQD720942 BZZ720938:BZZ720942 CJV720938:CJV720942 CTR720938:CTR720942 DDN720938:DDN720942 DNJ720938:DNJ720942 DXF720938:DXF720942 EHB720938:EHB720942 EQX720938:EQX720942 FAT720938:FAT720942 FKP720938:FKP720942 FUL720938:FUL720942 GEH720938:GEH720942 GOD720938:GOD720942 GXZ720938:GXZ720942 HHV720938:HHV720942 HRR720938:HRR720942 IBN720938:IBN720942 ILJ720938:ILJ720942 IVF720938:IVF720942 JFB720938:JFB720942 JOX720938:JOX720942 JYT720938:JYT720942 KIP720938:KIP720942 KSL720938:KSL720942 LCH720938:LCH720942 LMD720938:LMD720942 LVZ720938:LVZ720942 MFV720938:MFV720942 MPR720938:MPR720942 MZN720938:MZN720942 NJJ720938:NJJ720942 NTF720938:NTF720942 ODB720938:ODB720942 OMX720938:OMX720942 OWT720938:OWT720942 PGP720938:PGP720942 PQL720938:PQL720942 QAH720938:QAH720942 QKD720938:QKD720942 QTZ720938:QTZ720942 RDV720938:RDV720942 RNR720938:RNR720942 RXN720938:RXN720942 SHJ720938:SHJ720942 SRF720938:SRF720942 TBB720938:TBB720942 TKX720938:TKX720942 TUT720938:TUT720942 UEP720938:UEP720942 UOL720938:UOL720942 UYH720938:UYH720942 VID720938:VID720942 VRZ720938:VRZ720942 WBV720938:WBV720942 WLR720938:WLR720942 WVN720938:WVN720942 F786474:F786478 JB786474:JB786478 SX786474:SX786478 ACT786474:ACT786478 AMP786474:AMP786478 AWL786474:AWL786478 BGH786474:BGH786478 BQD786474:BQD786478 BZZ786474:BZZ786478 CJV786474:CJV786478 CTR786474:CTR786478 DDN786474:DDN786478 DNJ786474:DNJ786478 DXF786474:DXF786478 EHB786474:EHB786478 EQX786474:EQX786478 FAT786474:FAT786478 FKP786474:FKP786478 FUL786474:FUL786478 GEH786474:GEH786478 GOD786474:GOD786478 GXZ786474:GXZ786478 HHV786474:HHV786478 HRR786474:HRR786478 IBN786474:IBN786478 ILJ786474:ILJ786478 IVF786474:IVF786478 JFB786474:JFB786478 JOX786474:JOX786478 JYT786474:JYT786478 KIP786474:KIP786478 KSL786474:KSL786478 LCH786474:LCH786478 LMD786474:LMD786478 LVZ786474:LVZ786478 MFV786474:MFV786478 MPR786474:MPR786478 MZN786474:MZN786478 NJJ786474:NJJ786478 NTF786474:NTF786478 ODB786474:ODB786478 OMX786474:OMX786478 OWT786474:OWT786478 PGP786474:PGP786478 PQL786474:PQL786478 QAH786474:QAH786478 QKD786474:QKD786478 QTZ786474:QTZ786478 RDV786474:RDV786478 RNR786474:RNR786478 RXN786474:RXN786478 SHJ786474:SHJ786478 SRF786474:SRF786478 TBB786474:TBB786478 TKX786474:TKX786478 TUT786474:TUT786478 UEP786474:UEP786478 UOL786474:UOL786478 UYH786474:UYH786478 VID786474:VID786478 VRZ786474:VRZ786478 WBV786474:WBV786478 WLR786474:WLR786478 WVN786474:WVN786478 F852010:F852014 JB852010:JB852014 SX852010:SX852014 ACT852010:ACT852014 AMP852010:AMP852014 AWL852010:AWL852014 BGH852010:BGH852014 BQD852010:BQD852014 BZZ852010:BZZ852014 CJV852010:CJV852014 CTR852010:CTR852014 DDN852010:DDN852014 DNJ852010:DNJ852014 DXF852010:DXF852014 EHB852010:EHB852014 EQX852010:EQX852014 FAT852010:FAT852014 FKP852010:FKP852014 FUL852010:FUL852014 GEH852010:GEH852014 GOD852010:GOD852014 GXZ852010:GXZ852014 HHV852010:HHV852014 HRR852010:HRR852014 IBN852010:IBN852014 ILJ852010:ILJ852014 IVF852010:IVF852014 JFB852010:JFB852014 JOX852010:JOX852014 JYT852010:JYT852014 KIP852010:KIP852014 KSL852010:KSL852014 LCH852010:LCH852014 LMD852010:LMD852014 LVZ852010:LVZ852014 MFV852010:MFV852014 MPR852010:MPR852014 MZN852010:MZN852014 NJJ852010:NJJ852014 NTF852010:NTF852014 ODB852010:ODB852014 OMX852010:OMX852014 OWT852010:OWT852014 PGP852010:PGP852014 PQL852010:PQL852014 QAH852010:QAH852014 QKD852010:QKD852014 QTZ852010:QTZ852014 RDV852010:RDV852014 RNR852010:RNR852014 RXN852010:RXN852014 SHJ852010:SHJ852014 SRF852010:SRF852014 TBB852010:TBB852014 TKX852010:TKX852014 TUT852010:TUT852014 UEP852010:UEP852014 UOL852010:UOL852014 UYH852010:UYH852014 VID852010:VID852014 VRZ852010:VRZ852014 WBV852010:WBV852014 WLR852010:WLR852014 WVN852010:WVN852014 F917546:F917550 JB917546:JB917550 SX917546:SX917550 ACT917546:ACT917550 AMP917546:AMP917550 AWL917546:AWL917550 BGH917546:BGH917550 BQD917546:BQD917550 BZZ917546:BZZ917550 CJV917546:CJV917550 CTR917546:CTR917550 DDN917546:DDN917550 DNJ917546:DNJ917550 DXF917546:DXF917550 EHB917546:EHB917550 EQX917546:EQX917550 FAT917546:FAT917550 FKP917546:FKP917550 FUL917546:FUL917550 GEH917546:GEH917550 GOD917546:GOD917550 GXZ917546:GXZ917550 HHV917546:HHV917550 HRR917546:HRR917550 IBN917546:IBN917550 ILJ917546:ILJ917550 IVF917546:IVF917550 JFB917546:JFB917550 JOX917546:JOX917550 JYT917546:JYT917550 KIP917546:KIP917550 KSL917546:KSL917550 LCH917546:LCH917550 LMD917546:LMD917550 LVZ917546:LVZ917550 MFV917546:MFV917550 MPR917546:MPR917550 MZN917546:MZN917550 NJJ917546:NJJ917550 NTF917546:NTF917550 ODB917546:ODB917550 OMX917546:OMX917550 OWT917546:OWT917550 PGP917546:PGP917550 PQL917546:PQL917550 QAH917546:QAH917550 QKD917546:QKD917550 QTZ917546:QTZ917550 RDV917546:RDV917550 RNR917546:RNR917550 RXN917546:RXN917550 SHJ917546:SHJ917550 SRF917546:SRF917550 TBB917546:TBB917550 TKX917546:TKX917550 TUT917546:TUT917550 UEP917546:UEP917550 UOL917546:UOL917550 UYH917546:UYH917550 VID917546:VID917550 VRZ917546:VRZ917550 WBV917546:WBV917550 WLR917546:WLR917550 WVN917546:WVN917550 F983082:F983086 JB983082:JB983086 SX983082:SX983086 ACT983082:ACT983086 AMP983082:AMP983086 AWL983082:AWL983086 BGH983082:BGH983086 BQD983082:BQD983086 BZZ983082:BZZ983086 CJV983082:CJV983086 CTR983082:CTR983086 DDN983082:DDN983086 DNJ983082:DNJ983086 DXF983082:DXF983086 EHB983082:EHB983086 EQX983082:EQX983086 FAT983082:FAT983086 FKP983082:FKP983086 FUL983082:FUL983086 GEH983082:GEH983086 GOD983082:GOD983086 GXZ983082:GXZ983086 HHV983082:HHV983086 HRR983082:HRR983086 IBN983082:IBN983086 ILJ983082:ILJ983086 IVF983082:IVF983086 JFB983082:JFB983086 JOX983082:JOX983086 JYT983082:JYT983086 KIP983082:KIP983086 KSL983082:KSL983086 LCH983082:LCH983086 LMD983082:LMD983086 LVZ983082:LVZ983086 MFV983082:MFV983086 MPR983082:MPR983086 MZN983082:MZN983086 NJJ983082:NJJ983086 NTF983082:NTF983086 ODB983082:ODB983086 OMX983082:OMX983086 OWT983082:OWT983086 PGP983082:PGP983086 PQL983082:PQL983086 QAH983082:QAH983086 QKD983082:QKD983086 QTZ983082:QTZ983086 RDV983082:RDV983086 RNR983082:RNR983086 RXN983082:RXN983086 SHJ983082:SHJ983086 SRF983082:SRF983086 TBB983082:TBB983086 TKX983082:TKX983086 TUT983082:TUT983086 UEP983082:UEP983086 UOL983082:UOL983086 UYH983082:UYH983086 VID983082:VID983086 VRZ983082:VRZ983086 WBV983082:WBV983086 WLR983082:WLR983086 WVN983082:WVN983086" xr:uid="{00000000-0002-0000-0200-000001000000}">
      <formula1>C42</formula1>
      <formula2>IV1</formula2>
    </dataValidation>
    <dataValidation type="list" allowBlank="1" showInputMessage="1" showErrorMessage="1" prompt=" - "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00000000-0002-0000-0200-000002000000}">
      <formula1>$BU$267:$BU$272</formula1>
    </dataValidation>
    <dataValidation type="list" allowBlank="1" showInputMessage="1" showErrorMessage="1" prompt=" - "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xr:uid="{00000000-0002-0000-0200-000003000000}">
      <formula1>"SIM,NÃO"</formula1>
    </dataValidation>
    <dataValidation type="decimal" allowBlank="1" showInputMessage="1" showErrorMessage="1" prompt=" - "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xr:uid="{00000000-0002-0000-0200-000004000000}">
      <formula1>C24</formula1>
      <formula2>IU1</formula2>
    </dataValidation>
    <dataValidation type="decimal" allowBlank="1" showInputMessage="1" showErrorMessage="1" prompt=" - " sqref="F48:F49 JB48:JB49 SX48:SX49 ACT48:ACT49 AMP48:AMP49 AWL48:AWL49 BGH48:BGH49 BQD48:BQD49 BZZ48:BZZ49 CJV48:CJV49 CTR48:CTR49 DDN48:DDN49 DNJ48:DNJ49 DXF48:DXF49 EHB48:EHB49 EQX48:EQX49 FAT48:FAT49 FKP48:FKP49 FUL48:FUL49 GEH48:GEH49 GOD48:GOD49 GXZ48:GXZ49 HHV48:HHV49 HRR48:HRR49 IBN48:IBN49 ILJ48:ILJ49 IVF48:IVF49 JFB48:JFB49 JOX48:JOX49 JYT48:JYT49 KIP48:KIP49 KSL48:KSL49 LCH48:LCH49 LMD48:LMD49 LVZ48:LVZ49 MFV48:MFV49 MPR48:MPR49 MZN48:MZN49 NJJ48:NJJ49 NTF48:NTF49 ODB48:ODB49 OMX48:OMX49 OWT48:OWT49 PGP48:PGP49 PQL48:PQL49 QAH48:QAH49 QKD48:QKD49 QTZ48:QTZ49 RDV48:RDV49 RNR48:RNR49 RXN48:RXN49 SHJ48:SHJ49 SRF48:SRF49 TBB48:TBB49 TKX48:TKX49 TUT48:TUT49 UEP48:UEP49 UOL48:UOL49 UYH48:UYH49 VID48:VID49 VRZ48:VRZ49 WBV48:WBV49 WLR48:WLR49 WVN48:WVN49 F65584:F65585 JB65584:JB65585 SX65584:SX65585 ACT65584:ACT65585 AMP65584:AMP65585 AWL65584:AWL65585 BGH65584:BGH65585 BQD65584:BQD65585 BZZ65584:BZZ65585 CJV65584:CJV65585 CTR65584:CTR65585 DDN65584:DDN65585 DNJ65584:DNJ65585 DXF65584:DXF65585 EHB65584:EHB65585 EQX65584:EQX65585 FAT65584:FAT65585 FKP65584:FKP65585 FUL65584:FUL65585 GEH65584:GEH65585 GOD65584:GOD65585 GXZ65584:GXZ65585 HHV65584:HHV65585 HRR65584:HRR65585 IBN65584:IBN65585 ILJ65584:ILJ65585 IVF65584:IVF65585 JFB65584:JFB65585 JOX65584:JOX65585 JYT65584:JYT65585 KIP65584:KIP65585 KSL65584:KSL65585 LCH65584:LCH65585 LMD65584:LMD65585 LVZ65584:LVZ65585 MFV65584:MFV65585 MPR65584:MPR65585 MZN65584:MZN65585 NJJ65584:NJJ65585 NTF65584:NTF65585 ODB65584:ODB65585 OMX65584:OMX65585 OWT65584:OWT65585 PGP65584:PGP65585 PQL65584:PQL65585 QAH65584:QAH65585 QKD65584:QKD65585 QTZ65584:QTZ65585 RDV65584:RDV65585 RNR65584:RNR65585 RXN65584:RXN65585 SHJ65584:SHJ65585 SRF65584:SRF65585 TBB65584:TBB65585 TKX65584:TKX65585 TUT65584:TUT65585 UEP65584:UEP65585 UOL65584:UOL65585 UYH65584:UYH65585 VID65584:VID65585 VRZ65584:VRZ65585 WBV65584:WBV65585 WLR65584:WLR65585 WVN65584:WVN65585 F131120:F131121 JB131120:JB131121 SX131120:SX131121 ACT131120:ACT131121 AMP131120:AMP131121 AWL131120:AWL131121 BGH131120:BGH131121 BQD131120:BQD131121 BZZ131120:BZZ131121 CJV131120:CJV131121 CTR131120:CTR131121 DDN131120:DDN131121 DNJ131120:DNJ131121 DXF131120:DXF131121 EHB131120:EHB131121 EQX131120:EQX131121 FAT131120:FAT131121 FKP131120:FKP131121 FUL131120:FUL131121 GEH131120:GEH131121 GOD131120:GOD131121 GXZ131120:GXZ131121 HHV131120:HHV131121 HRR131120:HRR131121 IBN131120:IBN131121 ILJ131120:ILJ131121 IVF131120:IVF131121 JFB131120:JFB131121 JOX131120:JOX131121 JYT131120:JYT131121 KIP131120:KIP131121 KSL131120:KSL131121 LCH131120:LCH131121 LMD131120:LMD131121 LVZ131120:LVZ131121 MFV131120:MFV131121 MPR131120:MPR131121 MZN131120:MZN131121 NJJ131120:NJJ131121 NTF131120:NTF131121 ODB131120:ODB131121 OMX131120:OMX131121 OWT131120:OWT131121 PGP131120:PGP131121 PQL131120:PQL131121 QAH131120:QAH131121 QKD131120:QKD131121 QTZ131120:QTZ131121 RDV131120:RDV131121 RNR131120:RNR131121 RXN131120:RXN131121 SHJ131120:SHJ131121 SRF131120:SRF131121 TBB131120:TBB131121 TKX131120:TKX131121 TUT131120:TUT131121 UEP131120:UEP131121 UOL131120:UOL131121 UYH131120:UYH131121 VID131120:VID131121 VRZ131120:VRZ131121 WBV131120:WBV131121 WLR131120:WLR131121 WVN131120:WVN131121 F196656:F196657 JB196656:JB196657 SX196656:SX196657 ACT196656:ACT196657 AMP196656:AMP196657 AWL196656:AWL196657 BGH196656:BGH196657 BQD196656:BQD196657 BZZ196656:BZZ196657 CJV196656:CJV196657 CTR196656:CTR196657 DDN196656:DDN196657 DNJ196656:DNJ196657 DXF196656:DXF196657 EHB196656:EHB196657 EQX196656:EQX196657 FAT196656:FAT196657 FKP196656:FKP196657 FUL196656:FUL196657 GEH196656:GEH196657 GOD196656:GOD196657 GXZ196656:GXZ196657 HHV196656:HHV196657 HRR196656:HRR196657 IBN196656:IBN196657 ILJ196656:ILJ196657 IVF196656:IVF196657 JFB196656:JFB196657 JOX196656:JOX196657 JYT196656:JYT196657 KIP196656:KIP196657 KSL196656:KSL196657 LCH196656:LCH196657 LMD196656:LMD196657 LVZ196656:LVZ196657 MFV196656:MFV196657 MPR196656:MPR196657 MZN196656:MZN196657 NJJ196656:NJJ196657 NTF196656:NTF196657 ODB196656:ODB196657 OMX196656:OMX196657 OWT196656:OWT196657 PGP196656:PGP196657 PQL196656:PQL196657 QAH196656:QAH196657 QKD196656:QKD196657 QTZ196656:QTZ196657 RDV196656:RDV196657 RNR196656:RNR196657 RXN196656:RXN196657 SHJ196656:SHJ196657 SRF196656:SRF196657 TBB196656:TBB196657 TKX196656:TKX196657 TUT196656:TUT196657 UEP196656:UEP196657 UOL196656:UOL196657 UYH196656:UYH196657 VID196656:VID196657 VRZ196656:VRZ196657 WBV196656:WBV196657 WLR196656:WLR196657 WVN196656:WVN196657 F262192:F262193 JB262192:JB262193 SX262192:SX262193 ACT262192:ACT262193 AMP262192:AMP262193 AWL262192:AWL262193 BGH262192:BGH262193 BQD262192:BQD262193 BZZ262192:BZZ262193 CJV262192:CJV262193 CTR262192:CTR262193 DDN262192:DDN262193 DNJ262192:DNJ262193 DXF262192:DXF262193 EHB262192:EHB262193 EQX262192:EQX262193 FAT262192:FAT262193 FKP262192:FKP262193 FUL262192:FUL262193 GEH262192:GEH262193 GOD262192:GOD262193 GXZ262192:GXZ262193 HHV262192:HHV262193 HRR262192:HRR262193 IBN262192:IBN262193 ILJ262192:ILJ262193 IVF262192:IVF262193 JFB262192:JFB262193 JOX262192:JOX262193 JYT262192:JYT262193 KIP262192:KIP262193 KSL262192:KSL262193 LCH262192:LCH262193 LMD262192:LMD262193 LVZ262192:LVZ262193 MFV262192:MFV262193 MPR262192:MPR262193 MZN262192:MZN262193 NJJ262192:NJJ262193 NTF262192:NTF262193 ODB262192:ODB262193 OMX262192:OMX262193 OWT262192:OWT262193 PGP262192:PGP262193 PQL262192:PQL262193 QAH262192:QAH262193 QKD262192:QKD262193 QTZ262192:QTZ262193 RDV262192:RDV262193 RNR262192:RNR262193 RXN262192:RXN262193 SHJ262192:SHJ262193 SRF262192:SRF262193 TBB262192:TBB262193 TKX262192:TKX262193 TUT262192:TUT262193 UEP262192:UEP262193 UOL262192:UOL262193 UYH262192:UYH262193 VID262192:VID262193 VRZ262192:VRZ262193 WBV262192:WBV262193 WLR262192:WLR262193 WVN262192:WVN262193 F327728:F327729 JB327728:JB327729 SX327728:SX327729 ACT327728:ACT327729 AMP327728:AMP327729 AWL327728:AWL327729 BGH327728:BGH327729 BQD327728:BQD327729 BZZ327728:BZZ327729 CJV327728:CJV327729 CTR327728:CTR327729 DDN327728:DDN327729 DNJ327728:DNJ327729 DXF327728:DXF327729 EHB327728:EHB327729 EQX327728:EQX327729 FAT327728:FAT327729 FKP327728:FKP327729 FUL327728:FUL327729 GEH327728:GEH327729 GOD327728:GOD327729 GXZ327728:GXZ327729 HHV327728:HHV327729 HRR327728:HRR327729 IBN327728:IBN327729 ILJ327728:ILJ327729 IVF327728:IVF327729 JFB327728:JFB327729 JOX327728:JOX327729 JYT327728:JYT327729 KIP327728:KIP327729 KSL327728:KSL327729 LCH327728:LCH327729 LMD327728:LMD327729 LVZ327728:LVZ327729 MFV327728:MFV327729 MPR327728:MPR327729 MZN327728:MZN327729 NJJ327728:NJJ327729 NTF327728:NTF327729 ODB327728:ODB327729 OMX327728:OMX327729 OWT327728:OWT327729 PGP327728:PGP327729 PQL327728:PQL327729 QAH327728:QAH327729 QKD327728:QKD327729 QTZ327728:QTZ327729 RDV327728:RDV327729 RNR327728:RNR327729 RXN327728:RXN327729 SHJ327728:SHJ327729 SRF327728:SRF327729 TBB327728:TBB327729 TKX327728:TKX327729 TUT327728:TUT327729 UEP327728:UEP327729 UOL327728:UOL327729 UYH327728:UYH327729 VID327728:VID327729 VRZ327728:VRZ327729 WBV327728:WBV327729 WLR327728:WLR327729 WVN327728:WVN327729 F393264:F393265 JB393264:JB393265 SX393264:SX393265 ACT393264:ACT393265 AMP393264:AMP393265 AWL393264:AWL393265 BGH393264:BGH393265 BQD393264:BQD393265 BZZ393264:BZZ393265 CJV393264:CJV393265 CTR393264:CTR393265 DDN393264:DDN393265 DNJ393264:DNJ393265 DXF393264:DXF393265 EHB393264:EHB393265 EQX393264:EQX393265 FAT393264:FAT393265 FKP393264:FKP393265 FUL393264:FUL393265 GEH393264:GEH393265 GOD393264:GOD393265 GXZ393264:GXZ393265 HHV393264:HHV393265 HRR393264:HRR393265 IBN393264:IBN393265 ILJ393264:ILJ393265 IVF393264:IVF393265 JFB393264:JFB393265 JOX393264:JOX393265 JYT393264:JYT393265 KIP393264:KIP393265 KSL393264:KSL393265 LCH393264:LCH393265 LMD393264:LMD393265 LVZ393264:LVZ393265 MFV393264:MFV393265 MPR393264:MPR393265 MZN393264:MZN393265 NJJ393264:NJJ393265 NTF393264:NTF393265 ODB393264:ODB393265 OMX393264:OMX393265 OWT393264:OWT393265 PGP393264:PGP393265 PQL393264:PQL393265 QAH393264:QAH393265 QKD393264:QKD393265 QTZ393264:QTZ393265 RDV393264:RDV393265 RNR393264:RNR393265 RXN393264:RXN393265 SHJ393264:SHJ393265 SRF393264:SRF393265 TBB393264:TBB393265 TKX393264:TKX393265 TUT393264:TUT393265 UEP393264:UEP393265 UOL393264:UOL393265 UYH393264:UYH393265 VID393264:VID393265 VRZ393264:VRZ393265 WBV393264:WBV393265 WLR393264:WLR393265 WVN393264:WVN393265 F458800:F458801 JB458800:JB458801 SX458800:SX458801 ACT458800:ACT458801 AMP458800:AMP458801 AWL458800:AWL458801 BGH458800:BGH458801 BQD458800:BQD458801 BZZ458800:BZZ458801 CJV458800:CJV458801 CTR458800:CTR458801 DDN458800:DDN458801 DNJ458800:DNJ458801 DXF458800:DXF458801 EHB458800:EHB458801 EQX458800:EQX458801 FAT458800:FAT458801 FKP458800:FKP458801 FUL458800:FUL458801 GEH458800:GEH458801 GOD458800:GOD458801 GXZ458800:GXZ458801 HHV458800:HHV458801 HRR458800:HRR458801 IBN458800:IBN458801 ILJ458800:ILJ458801 IVF458800:IVF458801 JFB458800:JFB458801 JOX458800:JOX458801 JYT458800:JYT458801 KIP458800:KIP458801 KSL458800:KSL458801 LCH458800:LCH458801 LMD458800:LMD458801 LVZ458800:LVZ458801 MFV458800:MFV458801 MPR458800:MPR458801 MZN458800:MZN458801 NJJ458800:NJJ458801 NTF458800:NTF458801 ODB458800:ODB458801 OMX458800:OMX458801 OWT458800:OWT458801 PGP458800:PGP458801 PQL458800:PQL458801 QAH458800:QAH458801 QKD458800:QKD458801 QTZ458800:QTZ458801 RDV458800:RDV458801 RNR458800:RNR458801 RXN458800:RXN458801 SHJ458800:SHJ458801 SRF458800:SRF458801 TBB458800:TBB458801 TKX458800:TKX458801 TUT458800:TUT458801 UEP458800:UEP458801 UOL458800:UOL458801 UYH458800:UYH458801 VID458800:VID458801 VRZ458800:VRZ458801 WBV458800:WBV458801 WLR458800:WLR458801 WVN458800:WVN458801 F524336:F524337 JB524336:JB524337 SX524336:SX524337 ACT524336:ACT524337 AMP524336:AMP524337 AWL524336:AWL524337 BGH524336:BGH524337 BQD524336:BQD524337 BZZ524336:BZZ524337 CJV524336:CJV524337 CTR524336:CTR524337 DDN524336:DDN524337 DNJ524336:DNJ524337 DXF524336:DXF524337 EHB524336:EHB524337 EQX524336:EQX524337 FAT524336:FAT524337 FKP524336:FKP524337 FUL524336:FUL524337 GEH524336:GEH524337 GOD524336:GOD524337 GXZ524336:GXZ524337 HHV524336:HHV524337 HRR524336:HRR524337 IBN524336:IBN524337 ILJ524336:ILJ524337 IVF524336:IVF524337 JFB524336:JFB524337 JOX524336:JOX524337 JYT524336:JYT524337 KIP524336:KIP524337 KSL524336:KSL524337 LCH524336:LCH524337 LMD524336:LMD524337 LVZ524336:LVZ524337 MFV524336:MFV524337 MPR524336:MPR524337 MZN524336:MZN524337 NJJ524336:NJJ524337 NTF524336:NTF524337 ODB524336:ODB524337 OMX524336:OMX524337 OWT524336:OWT524337 PGP524336:PGP524337 PQL524336:PQL524337 QAH524336:QAH524337 QKD524336:QKD524337 QTZ524336:QTZ524337 RDV524336:RDV524337 RNR524336:RNR524337 RXN524336:RXN524337 SHJ524336:SHJ524337 SRF524336:SRF524337 TBB524336:TBB524337 TKX524336:TKX524337 TUT524336:TUT524337 UEP524336:UEP524337 UOL524336:UOL524337 UYH524336:UYH524337 VID524336:VID524337 VRZ524336:VRZ524337 WBV524336:WBV524337 WLR524336:WLR524337 WVN524336:WVN524337 F589872:F589873 JB589872:JB589873 SX589872:SX589873 ACT589872:ACT589873 AMP589872:AMP589873 AWL589872:AWL589873 BGH589872:BGH589873 BQD589872:BQD589873 BZZ589872:BZZ589873 CJV589872:CJV589873 CTR589872:CTR589873 DDN589872:DDN589873 DNJ589872:DNJ589873 DXF589872:DXF589873 EHB589872:EHB589873 EQX589872:EQX589873 FAT589872:FAT589873 FKP589872:FKP589873 FUL589872:FUL589873 GEH589872:GEH589873 GOD589872:GOD589873 GXZ589872:GXZ589873 HHV589872:HHV589873 HRR589872:HRR589873 IBN589872:IBN589873 ILJ589872:ILJ589873 IVF589872:IVF589873 JFB589872:JFB589873 JOX589872:JOX589873 JYT589872:JYT589873 KIP589872:KIP589873 KSL589872:KSL589873 LCH589872:LCH589873 LMD589872:LMD589873 LVZ589872:LVZ589873 MFV589872:MFV589873 MPR589872:MPR589873 MZN589872:MZN589873 NJJ589872:NJJ589873 NTF589872:NTF589873 ODB589872:ODB589873 OMX589872:OMX589873 OWT589872:OWT589873 PGP589872:PGP589873 PQL589872:PQL589873 QAH589872:QAH589873 QKD589872:QKD589873 QTZ589872:QTZ589873 RDV589872:RDV589873 RNR589872:RNR589873 RXN589872:RXN589873 SHJ589872:SHJ589873 SRF589872:SRF589873 TBB589872:TBB589873 TKX589872:TKX589873 TUT589872:TUT589873 UEP589872:UEP589873 UOL589872:UOL589873 UYH589872:UYH589873 VID589872:VID589873 VRZ589872:VRZ589873 WBV589872:WBV589873 WLR589872:WLR589873 WVN589872:WVN589873 F655408:F655409 JB655408:JB655409 SX655408:SX655409 ACT655408:ACT655409 AMP655408:AMP655409 AWL655408:AWL655409 BGH655408:BGH655409 BQD655408:BQD655409 BZZ655408:BZZ655409 CJV655408:CJV655409 CTR655408:CTR655409 DDN655408:DDN655409 DNJ655408:DNJ655409 DXF655408:DXF655409 EHB655408:EHB655409 EQX655408:EQX655409 FAT655408:FAT655409 FKP655408:FKP655409 FUL655408:FUL655409 GEH655408:GEH655409 GOD655408:GOD655409 GXZ655408:GXZ655409 HHV655408:HHV655409 HRR655408:HRR655409 IBN655408:IBN655409 ILJ655408:ILJ655409 IVF655408:IVF655409 JFB655408:JFB655409 JOX655408:JOX655409 JYT655408:JYT655409 KIP655408:KIP655409 KSL655408:KSL655409 LCH655408:LCH655409 LMD655408:LMD655409 LVZ655408:LVZ655409 MFV655408:MFV655409 MPR655408:MPR655409 MZN655408:MZN655409 NJJ655408:NJJ655409 NTF655408:NTF655409 ODB655408:ODB655409 OMX655408:OMX655409 OWT655408:OWT655409 PGP655408:PGP655409 PQL655408:PQL655409 QAH655408:QAH655409 QKD655408:QKD655409 QTZ655408:QTZ655409 RDV655408:RDV655409 RNR655408:RNR655409 RXN655408:RXN655409 SHJ655408:SHJ655409 SRF655408:SRF655409 TBB655408:TBB655409 TKX655408:TKX655409 TUT655408:TUT655409 UEP655408:UEP655409 UOL655408:UOL655409 UYH655408:UYH655409 VID655408:VID655409 VRZ655408:VRZ655409 WBV655408:WBV655409 WLR655408:WLR655409 WVN655408:WVN655409 F720944:F720945 JB720944:JB720945 SX720944:SX720945 ACT720944:ACT720945 AMP720944:AMP720945 AWL720944:AWL720945 BGH720944:BGH720945 BQD720944:BQD720945 BZZ720944:BZZ720945 CJV720944:CJV720945 CTR720944:CTR720945 DDN720944:DDN720945 DNJ720944:DNJ720945 DXF720944:DXF720945 EHB720944:EHB720945 EQX720944:EQX720945 FAT720944:FAT720945 FKP720944:FKP720945 FUL720944:FUL720945 GEH720944:GEH720945 GOD720944:GOD720945 GXZ720944:GXZ720945 HHV720944:HHV720945 HRR720944:HRR720945 IBN720944:IBN720945 ILJ720944:ILJ720945 IVF720944:IVF720945 JFB720944:JFB720945 JOX720944:JOX720945 JYT720944:JYT720945 KIP720944:KIP720945 KSL720944:KSL720945 LCH720944:LCH720945 LMD720944:LMD720945 LVZ720944:LVZ720945 MFV720944:MFV720945 MPR720944:MPR720945 MZN720944:MZN720945 NJJ720944:NJJ720945 NTF720944:NTF720945 ODB720944:ODB720945 OMX720944:OMX720945 OWT720944:OWT720945 PGP720944:PGP720945 PQL720944:PQL720945 QAH720944:QAH720945 QKD720944:QKD720945 QTZ720944:QTZ720945 RDV720944:RDV720945 RNR720944:RNR720945 RXN720944:RXN720945 SHJ720944:SHJ720945 SRF720944:SRF720945 TBB720944:TBB720945 TKX720944:TKX720945 TUT720944:TUT720945 UEP720944:UEP720945 UOL720944:UOL720945 UYH720944:UYH720945 VID720944:VID720945 VRZ720944:VRZ720945 WBV720944:WBV720945 WLR720944:WLR720945 WVN720944:WVN720945 F786480:F786481 JB786480:JB786481 SX786480:SX786481 ACT786480:ACT786481 AMP786480:AMP786481 AWL786480:AWL786481 BGH786480:BGH786481 BQD786480:BQD786481 BZZ786480:BZZ786481 CJV786480:CJV786481 CTR786480:CTR786481 DDN786480:DDN786481 DNJ786480:DNJ786481 DXF786480:DXF786481 EHB786480:EHB786481 EQX786480:EQX786481 FAT786480:FAT786481 FKP786480:FKP786481 FUL786480:FUL786481 GEH786480:GEH786481 GOD786480:GOD786481 GXZ786480:GXZ786481 HHV786480:HHV786481 HRR786480:HRR786481 IBN786480:IBN786481 ILJ786480:ILJ786481 IVF786480:IVF786481 JFB786480:JFB786481 JOX786480:JOX786481 JYT786480:JYT786481 KIP786480:KIP786481 KSL786480:KSL786481 LCH786480:LCH786481 LMD786480:LMD786481 LVZ786480:LVZ786481 MFV786480:MFV786481 MPR786480:MPR786481 MZN786480:MZN786481 NJJ786480:NJJ786481 NTF786480:NTF786481 ODB786480:ODB786481 OMX786480:OMX786481 OWT786480:OWT786481 PGP786480:PGP786481 PQL786480:PQL786481 QAH786480:QAH786481 QKD786480:QKD786481 QTZ786480:QTZ786481 RDV786480:RDV786481 RNR786480:RNR786481 RXN786480:RXN786481 SHJ786480:SHJ786481 SRF786480:SRF786481 TBB786480:TBB786481 TKX786480:TKX786481 TUT786480:TUT786481 UEP786480:UEP786481 UOL786480:UOL786481 UYH786480:UYH786481 VID786480:VID786481 VRZ786480:VRZ786481 WBV786480:WBV786481 WLR786480:WLR786481 WVN786480:WVN786481 F852016:F852017 JB852016:JB852017 SX852016:SX852017 ACT852016:ACT852017 AMP852016:AMP852017 AWL852016:AWL852017 BGH852016:BGH852017 BQD852016:BQD852017 BZZ852016:BZZ852017 CJV852016:CJV852017 CTR852016:CTR852017 DDN852016:DDN852017 DNJ852016:DNJ852017 DXF852016:DXF852017 EHB852016:EHB852017 EQX852016:EQX852017 FAT852016:FAT852017 FKP852016:FKP852017 FUL852016:FUL852017 GEH852016:GEH852017 GOD852016:GOD852017 GXZ852016:GXZ852017 HHV852016:HHV852017 HRR852016:HRR852017 IBN852016:IBN852017 ILJ852016:ILJ852017 IVF852016:IVF852017 JFB852016:JFB852017 JOX852016:JOX852017 JYT852016:JYT852017 KIP852016:KIP852017 KSL852016:KSL852017 LCH852016:LCH852017 LMD852016:LMD852017 LVZ852016:LVZ852017 MFV852016:MFV852017 MPR852016:MPR852017 MZN852016:MZN852017 NJJ852016:NJJ852017 NTF852016:NTF852017 ODB852016:ODB852017 OMX852016:OMX852017 OWT852016:OWT852017 PGP852016:PGP852017 PQL852016:PQL852017 QAH852016:QAH852017 QKD852016:QKD852017 QTZ852016:QTZ852017 RDV852016:RDV852017 RNR852016:RNR852017 RXN852016:RXN852017 SHJ852016:SHJ852017 SRF852016:SRF852017 TBB852016:TBB852017 TKX852016:TKX852017 TUT852016:TUT852017 UEP852016:UEP852017 UOL852016:UOL852017 UYH852016:UYH852017 VID852016:VID852017 VRZ852016:VRZ852017 WBV852016:WBV852017 WLR852016:WLR852017 WVN852016:WVN852017 F917552:F917553 JB917552:JB917553 SX917552:SX917553 ACT917552:ACT917553 AMP917552:AMP917553 AWL917552:AWL917553 BGH917552:BGH917553 BQD917552:BQD917553 BZZ917552:BZZ917553 CJV917552:CJV917553 CTR917552:CTR917553 DDN917552:DDN917553 DNJ917552:DNJ917553 DXF917552:DXF917553 EHB917552:EHB917553 EQX917552:EQX917553 FAT917552:FAT917553 FKP917552:FKP917553 FUL917552:FUL917553 GEH917552:GEH917553 GOD917552:GOD917553 GXZ917552:GXZ917553 HHV917552:HHV917553 HRR917552:HRR917553 IBN917552:IBN917553 ILJ917552:ILJ917553 IVF917552:IVF917553 JFB917552:JFB917553 JOX917552:JOX917553 JYT917552:JYT917553 KIP917552:KIP917553 KSL917552:KSL917553 LCH917552:LCH917553 LMD917552:LMD917553 LVZ917552:LVZ917553 MFV917552:MFV917553 MPR917552:MPR917553 MZN917552:MZN917553 NJJ917552:NJJ917553 NTF917552:NTF917553 ODB917552:ODB917553 OMX917552:OMX917553 OWT917552:OWT917553 PGP917552:PGP917553 PQL917552:PQL917553 QAH917552:QAH917553 QKD917552:QKD917553 QTZ917552:QTZ917553 RDV917552:RDV917553 RNR917552:RNR917553 RXN917552:RXN917553 SHJ917552:SHJ917553 SRF917552:SRF917553 TBB917552:TBB917553 TKX917552:TKX917553 TUT917552:TUT917553 UEP917552:UEP917553 UOL917552:UOL917553 UYH917552:UYH917553 VID917552:VID917553 VRZ917552:VRZ917553 WBV917552:WBV917553 WLR917552:WLR917553 WVN917552:WVN917553 F983088:F983089 JB983088:JB983089 SX983088:SX983089 ACT983088:ACT983089 AMP983088:AMP983089 AWL983088:AWL983089 BGH983088:BGH983089 BQD983088:BQD983089 BZZ983088:BZZ983089 CJV983088:CJV983089 CTR983088:CTR983089 DDN983088:DDN983089 DNJ983088:DNJ983089 DXF983088:DXF983089 EHB983088:EHB983089 EQX983088:EQX983089 FAT983088:FAT983089 FKP983088:FKP983089 FUL983088:FUL983089 GEH983088:GEH983089 GOD983088:GOD983089 GXZ983088:GXZ983089 HHV983088:HHV983089 HRR983088:HRR983089 IBN983088:IBN983089 ILJ983088:ILJ983089 IVF983088:IVF983089 JFB983088:JFB983089 JOX983088:JOX983089 JYT983088:JYT983089 KIP983088:KIP983089 KSL983088:KSL983089 LCH983088:LCH983089 LMD983088:LMD983089 LVZ983088:LVZ983089 MFV983088:MFV983089 MPR983088:MPR983089 MZN983088:MZN983089 NJJ983088:NJJ983089 NTF983088:NTF983089 ODB983088:ODB983089 OMX983088:OMX983089 OWT983088:OWT983089 PGP983088:PGP983089 PQL983088:PQL983089 QAH983088:QAH983089 QKD983088:QKD983089 QTZ983088:QTZ983089 RDV983088:RDV983089 RNR983088:RNR983089 RXN983088:RXN983089 SHJ983088:SHJ983089 SRF983088:SRF983089 TBB983088:TBB983089 TKX983088:TKX983089 TUT983088:TUT983089 UEP983088:UEP983089 UOL983088:UOL983089 UYH983088:UYH983089 VID983088:VID983089 VRZ983088:VRZ983089 WBV983088:WBV983089 WLR983088:WLR983089 WVN983088:WVN983089" xr:uid="{00000000-0002-0000-0200-000005000000}">
      <formula1>C48</formula1>
      <formula2>IV1</formula2>
    </dataValidation>
  </dataValidations>
  <pageMargins left="0.511811024" right="0.511811024" top="0.78740157499999996" bottom="0.78740157499999996" header="0.31496062000000002" footer="0.31496062000000002"/>
  <pageSetup paperSize="9" scale="86" orientation="portrait" verticalDpi="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Planilha</vt:lpstr>
      <vt:lpstr>BDI</vt:lpstr>
      <vt:lpstr>Planilha!Area_de_impressao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Maycon Douga</cp:lastModifiedBy>
  <cp:lastPrinted>2020-07-27T15:28:30Z</cp:lastPrinted>
  <dcterms:created xsi:type="dcterms:W3CDTF">2014-10-13T17:21:51Z</dcterms:created>
  <dcterms:modified xsi:type="dcterms:W3CDTF">2020-08-17T11:47:47Z</dcterms:modified>
</cp:coreProperties>
</file>